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березень" sheetId="1" r:id="rId1"/>
    <sheet name="лютий" sheetId="2" r:id="rId2"/>
    <sheet name="січень 17" sheetId="3" r:id="rId3"/>
  </sheets>
  <definedNames/>
  <calcPr fullCalcOnLoad="1"/>
</workbook>
</file>

<file path=xl/sharedStrings.xml><?xml version="1.0" encoding="utf-8"?>
<sst xmlns="http://schemas.openxmlformats.org/spreadsheetml/2006/main" count="431" uniqueCount="159">
  <si>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</si>
  <si>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</si>
  <si>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</si>
  <si>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</si>
  <si>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</si>
  <si>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</si>
  <si>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</si>
  <si>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</si>
  <si>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</si>
  <si>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</si>
  <si>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</si>
  <si>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</si>
  <si>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</si>
  <si>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</si>
  <si>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</si>
  <si>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</si>
  <si>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</si>
  <si>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</si>
  <si>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</si>
  <si>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</si>
  <si>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</si>
  <si>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</si>
  <si>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</si>
  <si>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</si>
  <si>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</si>
  <si>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</si>
  <si>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</si>
  <si>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</si>
  <si>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</si>
  <si>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</si>
  <si>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</si>
  <si>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</si>
  <si>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</si>
  <si>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</si>
  <si>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</si>
  <si>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</si>
  <si>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</si>
  <si>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</si>
  <si>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</si>
  <si>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</si>
  <si>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</si>
  <si>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</si>
  <si>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</si>
  <si>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</si>
  <si>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</si>
  <si>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</si>
  <si>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</si>
  <si>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</si>
  <si>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</si>
  <si>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</si>
  <si>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</si>
  <si>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</si>
  <si>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</si>
  <si>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</si>
  <si>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</si>
  <si>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</si>
  <si>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</si>
  <si>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</si>
  <si>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</si>
  <si>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</si>
  <si>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</si>
  <si>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</si>
  <si>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</si>
  <si>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</si>
  <si>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</si>
  <si>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</si>
  <si>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</si>
  <si>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</si>
  <si>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</si>
  <si>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</si>
  <si>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</si>
  <si>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</si>
  <si>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</si>
  <si>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</si>
  <si>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</si>
  <si>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</si>
  <si>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</si>
  <si>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</si>
  <si>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</si>
  <si>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</si>
  <si>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</si>
  <si>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</si>
  <si>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</si>
  <si>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</si>
  <si>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</si>
  <si>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</si>
  <si>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</si>
  <si>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</si>
  <si>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</si>
  <si>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</si>
  <si>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</si>
  <si>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</si>
  <si>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</si>
  <si>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</si>
  <si>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</si>
  <si>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</si>
  <si>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</si>
  <si>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</si>
  <si>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</si>
  <si>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</si>
  <si>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</si>
  <si>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</si>
  <si>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</si>
  <si>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</si>
  <si>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</si>
  <si>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</si>
  <si>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</si>
  <si>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</si>
  <si>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</si>
  <si>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</si>
  <si>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</si>
  <si>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</si>
  <si>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</si>
  <si>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</si>
  <si>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</si>
  <si>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</si>
  <si>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</si>
  <si>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</si>
  <si>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</si>
  <si>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</si>
  <si>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</si>
  <si>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</si>
  <si>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</si>
  <si>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</si>
  <si>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</si>
  <si>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</si>
  <si>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</si>
  <si>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</si>
  <si>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</si>
  <si>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</si>
  <si>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</si>
  <si>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</si>
  <si>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</si>
  <si>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</si>
  <si>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</si>
  <si>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</si>
  <si>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</si>
  <si>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</si>
  <si>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</si>
  <si>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</si>
  <si>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</si>
  <si>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</si>
  <si>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</si>
  <si>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</si>
  <si>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</si>
  <si>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</si>
  <si>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</si>
  <si>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</si>
  <si>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</si>
  <si>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</si>
  <si>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</si>
  <si>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</si>
  <si>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</si>
  <si>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</si>
  <si>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</si>
  <si>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</si>
  <si>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</si>
  <si>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</si>
  <si>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24.03.17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</si>
</sst>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</numFmts>
  <fonts count="82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6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5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8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7" fillId="0" borderId="0" xfId="54" applyFont="1" applyAlignment="1" applyProtection="1">
      <alignment horizontal="right"/>
      <protection/>
    </xf>
    <xf numFmtId="0" fontId="6" fillId="38" borderId="10" xfId="54" applyFont="1" applyFill="1" applyBorder="1" applyAlignment="1" applyProtection="1">
      <alignment wrapText="1"/>
      <protection/>
    </xf>
    <xf numFmtId="182" fontId="2" fillId="0" borderId="0" xfId="54" applyNumberFormat="1" applyFont="1" applyProtection="1">
      <alignment/>
      <protection/>
    </xf>
    <xf numFmtId="182" fontId="7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6" fillId="0" borderId="0" xfId="54" applyNumberFormat="1" applyFont="1" applyProtection="1">
      <alignment/>
      <protection/>
    </xf>
    <xf numFmtId="182" fontId="79" fillId="0" borderId="0" xfId="54" applyNumberFormat="1" applyFont="1" applyProtection="1">
      <alignment/>
      <protection/>
    </xf>
    <xf numFmtId="182" fontId="78" fillId="0" borderId="0" xfId="0" applyNumberFormat="1" applyFont="1" applyFill="1" applyAlignment="1" applyProtection="1">
      <alignment/>
      <protection/>
    </xf>
    <xf numFmtId="0" fontId="18" fillId="0" borderId="10" xfId="54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77" fillId="0" borderId="10" xfId="0" applyNumberFormat="1" applyFont="1" applyFill="1" applyBorder="1" applyAlignment="1" applyProtection="1">
      <alignment/>
      <protection/>
    </xf>
    <xf numFmtId="191" fontId="77" fillId="0" borderId="10" xfId="0" applyNumberFormat="1" applyFont="1" applyFill="1" applyBorder="1" applyAlignment="1" applyProtection="1">
      <alignment/>
      <protection/>
    </xf>
    <xf numFmtId="182" fontId="38" fillId="0" borderId="0" xfId="0" applyNumberFormat="1" applyFont="1" applyAlignment="1" applyProtection="1">
      <alignment/>
      <protection/>
    </xf>
    <xf numFmtId="182" fontId="80" fillId="0" borderId="0" xfId="0" applyNumberFormat="1" applyFont="1" applyAlignment="1" applyProtection="1">
      <alignment/>
      <protection/>
    </xf>
    <xf numFmtId="4" fontId="2" fillId="0" borderId="0" xfId="54" applyNumberFormat="1" applyFont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9" fillId="0" borderId="0" xfId="54" applyNumberFormat="1" applyFont="1" applyProtection="1">
      <alignment/>
      <protection/>
    </xf>
    <xf numFmtId="4" fontId="38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1" fillId="0" borderId="0" xfId="0" applyNumberFormat="1" applyFont="1" applyAlignment="1" applyProtection="1">
      <alignment/>
      <protection/>
    </xf>
    <xf numFmtId="4" fontId="81" fillId="37" borderId="0" xfId="0" applyNumberFormat="1" applyFont="1" applyFill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6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08"/>
  <sheetViews>
    <sheetView tabSelected="1"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2" hidden="1" customWidth="1"/>
    <col min="22" max="23" width="0" style="77" hidden="1" customWidth="1"/>
    <col min="24" max="16384" width="9.125" style="4" customWidth="1"/>
  </cols>
  <sheetData>
    <row r="1" spans="1:23" s="1" customFormat="1" ht="26.25" customHeight="1">
      <c r="A1" s="281" t="s">
        <v>157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85"/>
      <c r="S1" s="86"/>
      <c r="T1" s="238"/>
      <c r="U1" s="241"/>
      <c r="V1" s="251"/>
      <c r="W1" s="251"/>
    </row>
    <row r="2" spans="2:23" s="1" customFormat="1" ht="15.75" customHeight="1">
      <c r="B2" s="282"/>
      <c r="C2" s="282"/>
      <c r="D2" s="282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38"/>
      <c r="U2" s="241"/>
      <c r="V2" s="251"/>
      <c r="W2" s="251"/>
    </row>
    <row r="3" spans="1:23" s="3" customFormat="1" ht="13.5" customHeight="1">
      <c r="A3" s="283"/>
      <c r="B3" s="285"/>
      <c r="C3" s="286" t="s">
        <v>0</v>
      </c>
      <c r="D3" s="287" t="s">
        <v>138</v>
      </c>
      <c r="E3" s="31"/>
      <c r="F3" s="288" t="s">
        <v>26</v>
      </c>
      <c r="G3" s="289"/>
      <c r="H3" s="289"/>
      <c r="I3" s="289"/>
      <c r="J3" s="290"/>
      <c r="K3" s="82"/>
      <c r="L3" s="82"/>
      <c r="M3" s="82"/>
      <c r="N3" s="291" t="s">
        <v>143</v>
      </c>
      <c r="O3" s="292" t="s">
        <v>144</v>
      </c>
      <c r="P3" s="292"/>
      <c r="Q3" s="292"/>
      <c r="R3" s="292"/>
      <c r="S3" s="292"/>
      <c r="T3" s="112" t="s">
        <v>155</v>
      </c>
      <c r="U3" s="112" t="s">
        <v>155</v>
      </c>
      <c r="V3" s="252" t="s">
        <v>155</v>
      </c>
      <c r="W3" s="252" t="s">
        <v>155</v>
      </c>
    </row>
    <row r="4" spans="1:22" ht="22.5" customHeight="1">
      <c r="A4" s="283"/>
      <c r="B4" s="285"/>
      <c r="C4" s="286"/>
      <c r="D4" s="287"/>
      <c r="E4" s="293" t="s">
        <v>141</v>
      </c>
      <c r="F4" s="275" t="s">
        <v>33</v>
      </c>
      <c r="G4" s="268" t="s">
        <v>142</v>
      </c>
      <c r="H4" s="277" t="s">
        <v>134</v>
      </c>
      <c r="I4" s="268" t="s">
        <v>125</v>
      </c>
      <c r="J4" s="277" t="s">
        <v>126</v>
      </c>
      <c r="K4" s="84" t="s">
        <v>128</v>
      </c>
      <c r="L4" s="202" t="s">
        <v>111</v>
      </c>
      <c r="M4" s="89" t="s">
        <v>63</v>
      </c>
      <c r="N4" s="277"/>
      <c r="O4" s="279" t="s">
        <v>158</v>
      </c>
      <c r="P4" s="268" t="s">
        <v>49</v>
      </c>
      <c r="Q4" s="270" t="s">
        <v>48</v>
      </c>
      <c r="R4" s="90" t="s">
        <v>64</v>
      </c>
      <c r="S4" s="91" t="s">
        <v>63</v>
      </c>
      <c r="T4" s="28" t="s">
        <v>154</v>
      </c>
      <c r="U4" s="242" t="s">
        <v>154</v>
      </c>
      <c r="V4" s="77" t="s">
        <v>156</v>
      </c>
    </row>
    <row r="5" spans="1:23" ht="67.5" customHeight="1">
      <c r="A5" s="284"/>
      <c r="B5" s="285"/>
      <c r="C5" s="286"/>
      <c r="D5" s="287"/>
      <c r="E5" s="294"/>
      <c r="F5" s="276"/>
      <c r="G5" s="269"/>
      <c r="H5" s="278"/>
      <c r="I5" s="269"/>
      <c r="J5" s="278"/>
      <c r="K5" s="271" t="s">
        <v>149</v>
      </c>
      <c r="L5" s="272"/>
      <c r="M5" s="273"/>
      <c r="N5" s="278"/>
      <c r="O5" s="280"/>
      <c r="P5" s="269"/>
      <c r="Q5" s="270"/>
      <c r="R5" s="271" t="s">
        <v>102</v>
      </c>
      <c r="S5" s="273"/>
      <c r="T5" s="28" t="s">
        <v>147</v>
      </c>
      <c r="U5" s="242" t="s">
        <v>148</v>
      </c>
      <c r="V5" s="77" t="s">
        <v>147</v>
      </c>
      <c r="W5" s="253" t="s">
        <v>148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263613.13999999996</v>
      </c>
      <c r="G8" s="149">
        <f aca="true" t="shared" si="0" ref="G8:G40">F8-E8</f>
        <v>-28926.360000000044</v>
      </c>
      <c r="H8" s="150">
        <f>F8/E8*100</f>
        <v>90.11198145891409</v>
      </c>
      <c r="I8" s="151">
        <f>F8-D8</f>
        <v>-1034837.9600000002</v>
      </c>
      <c r="J8" s="151">
        <f>F8/D8*100</f>
        <v>20.302123044910967</v>
      </c>
      <c r="K8" s="149">
        <v>209787.72</v>
      </c>
      <c r="L8" s="149">
        <f aca="true" t="shared" si="1" ref="L8:L54">F8-K8</f>
        <v>53825.419999999955</v>
      </c>
      <c r="M8" s="203">
        <f aca="true" t="shared" si="2" ref="M8:M31">F8/K8</f>
        <v>1.2565708803165407</v>
      </c>
      <c r="N8" s="149">
        <f>N9+N15+N18+N19+N23+N17</f>
        <v>96294</v>
      </c>
      <c r="O8" s="149">
        <f>O9+O15+O18+O19+O23+O17</f>
        <v>68781.68</v>
      </c>
      <c r="P8" s="149">
        <f>O8-N8</f>
        <v>-27512.320000000007</v>
      </c>
      <c r="Q8" s="149">
        <f>O8/N8*100</f>
        <v>71.42883253369887</v>
      </c>
      <c r="R8" s="15" t="e">
        <f>#N/A</f>
        <v>#N/A</v>
      </c>
      <c r="S8" s="15" t="e">
        <f>#N/A</f>
        <v>#N/A</v>
      </c>
      <c r="T8" s="145"/>
      <c r="U8" s="239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146360.81</v>
      </c>
      <c r="G9" s="148">
        <f t="shared" si="0"/>
        <v>-15499.190000000002</v>
      </c>
      <c r="H9" s="155">
        <f>F9/E9*100</f>
        <v>90.42432348943531</v>
      </c>
      <c r="I9" s="156">
        <f>F9-D9</f>
        <v>-620284.19</v>
      </c>
      <c r="J9" s="156">
        <f>F9/D9*100</f>
        <v>19.09107996530337</v>
      </c>
      <c r="K9" s="225">
        <v>112281.82</v>
      </c>
      <c r="L9" s="157">
        <f t="shared" si="1"/>
        <v>34078.98999999999</v>
      </c>
      <c r="M9" s="204">
        <f t="shared" si="2"/>
        <v>1.3035129818878959</v>
      </c>
      <c r="N9" s="155">
        <f>E9-лютий!E9</f>
        <v>59660</v>
      </c>
      <c r="O9" s="158">
        <f>F9-лютий!F9</f>
        <v>44474.869999999995</v>
      </c>
      <c r="P9" s="159">
        <f>O9-N9</f>
        <v>-15185.130000000005</v>
      </c>
      <c r="Q9" s="156">
        <f>O9/N9*100</f>
        <v>74.54721756620852</v>
      </c>
      <c r="R9" s="99"/>
      <c r="S9" s="100"/>
      <c r="T9" s="145">
        <v>58776</v>
      </c>
      <c r="U9" s="239">
        <f>O9-T9</f>
        <v>-14301.130000000005</v>
      </c>
      <c r="V9" s="131">
        <v>160661.9</v>
      </c>
      <c r="W9" s="257">
        <f>F9-V9</f>
        <v>-14301.089999999997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134107.03</v>
      </c>
      <c r="G10" s="102">
        <f t="shared" si="0"/>
        <v>-12404.970000000001</v>
      </c>
      <c r="H10" s="29">
        <f aca="true" t="shared" si="3" ref="H10:H39">F10/E10*100</f>
        <v>91.53313721742929</v>
      </c>
      <c r="I10" s="103">
        <f aca="true" t="shared" si="4" ref="I10:I40">F10-D10</f>
        <v>-567209.97</v>
      </c>
      <c r="J10" s="103">
        <f aca="true" t="shared" si="5" ref="J10:J39">F10/D10*100</f>
        <v>19.122170145597497</v>
      </c>
      <c r="K10" s="105">
        <v>98464.38</v>
      </c>
      <c r="L10" s="105">
        <f t="shared" si="1"/>
        <v>35642.649999999994</v>
      </c>
      <c r="M10" s="205">
        <f t="shared" si="2"/>
        <v>1.3619852173953666</v>
      </c>
      <c r="N10" s="104">
        <f>E10-лютий!E10</f>
        <v>54164</v>
      </c>
      <c r="O10" s="142">
        <f>F10-лютий!F10</f>
        <v>41380.39</v>
      </c>
      <c r="P10" s="105">
        <f aca="true" t="shared" si="6" ref="P10:P40">O10-N10</f>
        <v>-12783.61</v>
      </c>
      <c r="Q10" s="103">
        <f aca="true" t="shared" si="7" ref="Q10:Q27">O10/N10*100</f>
        <v>76.39832730226719</v>
      </c>
      <c r="R10" s="36"/>
      <c r="S10" s="93"/>
      <c r="T10" s="145"/>
      <c r="U10" s="239">
        <f aca="true" t="shared" si="8" ref="U10:U42">O10-T10</f>
        <v>41380.39</v>
      </c>
      <c r="V10" s="131"/>
      <c r="W10" s="256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7606.24</v>
      </c>
      <c r="G11" s="102">
        <f t="shared" si="0"/>
        <v>-3193.76</v>
      </c>
      <c r="H11" s="29">
        <f t="shared" si="3"/>
        <v>70.42814814814815</v>
      </c>
      <c r="I11" s="103">
        <f t="shared" si="4"/>
        <v>-38899.76</v>
      </c>
      <c r="J11" s="103">
        <f t="shared" si="5"/>
        <v>16.355395002795337</v>
      </c>
      <c r="K11" s="105">
        <v>8077.11</v>
      </c>
      <c r="L11" s="105">
        <f t="shared" si="1"/>
        <v>-470.8699999999999</v>
      </c>
      <c r="M11" s="205">
        <f t="shared" si="2"/>
        <v>0.9417031586792801</v>
      </c>
      <c r="N11" s="104">
        <f>E11-лютий!E11</f>
        <v>3600</v>
      </c>
      <c r="O11" s="142">
        <f>F11-лютий!F11</f>
        <v>1710.9799999999996</v>
      </c>
      <c r="P11" s="105">
        <f t="shared" si="6"/>
        <v>-1889.0200000000004</v>
      </c>
      <c r="Q11" s="103">
        <f t="shared" si="7"/>
        <v>47.52722222222221</v>
      </c>
      <c r="R11" s="36"/>
      <c r="S11" s="93"/>
      <c r="T11" s="145"/>
      <c r="U11" s="239">
        <f t="shared" si="8"/>
        <v>1710.9799999999996</v>
      </c>
      <c r="V11" s="131"/>
      <c r="W11" s="256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1589</v>
      </c>
      <c r="G12" s="102">
        <f t="shared" si="0"/>
        <v>-151</v>
      </c>
      <c r="H12" s="29">
        <f t="shared" si="3"/>
        <v>91.32183908045977</v>
      </c>
      <c r="I12" s="103">
        <f t="shared" si="4"/>
        <v>-6691</v>
      </c>
      <c r="J12" s="103">
        <f t="shared" si="5"/>
        <v>19.19082125603865</v>
      </c>
      <c r="K12" s="105">
        <v>2379.47</v>
      </c>
      <c r="L12" s="105">
        <f t="shared" si="1"/>
        <v>-790.4699999999998</v>
      </c>
      <c r="M12" s="205">
        <f t="shared" si="2"/>
        <v>0.6677957696461818</v>
      </c>
      <c r="N12" s="104">
        <f>E12-лютий!E12</f>
        <v>900</v>
      </c>
      <c r="O12" s="142">
        <f>F12-лютий!F12</f>
        <v>551.5799999999999</v>
      </c>
      <c r="P12" s="105">
        <f t="shared" si="6"/>
        <v>-348.4200000000001</v>
      </c>
      <c r="Q12" s="103">
        <f t="shared" si="7"/>
        <v>61.286666666666655</v>
      </c>
      <c r="R12" s="36"/>
      <c r="S12" s="93"/>
      <c r="T12" s="145"/>
      <c r="U12" s="239">
        <f t="shared" si="8"/>
        <v>551.5799999999999</v>
      </c>
      <c r="V12" s="131"/>
      <c r="W12" s="256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2685.03</v>
      </c>
      <c r="G13" s="102">
        <f t="shared" si="0"/>
        <v>165.0300000000002</v>
      </c>
      <c r="H13" s="29">
        <f t="shared" si="3"/>
        <v>106.54880952380954</v>
      </c>
      <c r="I13" s="103">
        <f t="shared" si="4"/>
        <v>-6704.969999999999</v>
      </c>
      <c r="J13" s="103">
        <f t="shared" si="5"/>
        <v>28.59456869009585</v>
      </c>
      <c r="K13" s="105">
        <v>2424.94</v>
      </c>
      <c r="L13" s="105">
        <f t="shared" si="1"/>
        <v>260.09000000000015</v>
      </c>
      <c r="M13" s="205">
        <f t="shared" si="2"/>
        <v>1.1072562620106066</v>
      </c>
      <c r="N13" s="104">
        <f>E13-лютий!E13</f>
        <v>900</v>
      </c>
      <c r="O13" s="142">
        <f>F13-лютий!F13</f>
        <v>656.7100000000003</v>
      </c>
      <c r="P13" s="105">
        <f t="shared" si="6"/>
        <v>-243.28999999999974</v>
      </c>
      <c r="Q13" s="103">
        <f t="shared" si="7"/>
        <v>72.96777777777781</v>
      </c>
      <c r="R13" s="36"/>
      <c r="S13" s="93"/>
      <c r="T13" s="145"/>
      <c r="U13" s="239">
        <f t="shared" si="8"/>
        <v>656.7100000000003</v>
      </c>
      <c r="V13" s="131"/>
      <c r="W13" s="256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373.51</v>
      </c>
      <c r="G14" s="102">
        <f t="shared" si="0"/>
        <v>85.50999999999999</v>
      </c>
      <c r="H14" s="29">
        <f t="shared" si="3"/>
        <v>129.6909722222222</v>
      </c>
      <c r="I14" s="103">
        <f t="shared" si="4"/>
        <v>-778.49</v>
      </c>
      <c r="J14" s="103">
        <f t="shared" si="5"/>
        <v>32.42274305555555</v>
      </c>
      <c r="K14" s="105">
        <v>935.92</v>
      </c>
      <c r="L14" s="105">
        <f t="shared" si="1"/>
        <v>-562.41</v>
      </c>
      <c r="M14" s="205">
        <f t="shared" si="2"/>
        <v>0.39908325497905806</v>
      </c>
      <c r="N14" s="104">
        <f>E14-лютий!E14</f>
        <v>96</v>
      </c>
      <c r="O14" s="142">
        <f>F14-лютий!F14</f>
        <v>175.2</v>
      </c>
      <c r="P14" s="105">
        <f t="shared" si="6"/>
        <v>79.19999999999999</v>
      </c>
      <c r="Q14" s="103">
        <f t="shared" si="7"/>
        <v>182.5</v>
      </c>
      <c r="R14" s="36"/>
      <c r="S14" s="93"/>
      <c r="T14" s="239"/>
      <c r="U14" s="239">
        <f t="shared" si="8"/>
        <v>175.2</v>
      </c>
      <c r="V14" s="131"/>
      <c r="W14" s="256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39">
        <f t="shared" si="8"/>
        <v>-3.1300000000000523</v>
      </c>
      <c r="V15" s="131"/>
      <c r="W15" s="256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39">
        <f t="shared" si="8"/>
        <v>0</v>
      </c>
      <c r="V16" s="131"/>
      <c r="W16" s="256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39">
        <f t="shared" si="8"/>
        <v>0</v>
      </c>
      <c r="V17" s="131"/>
      <c r="W17" s="256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39"/>
      <c r="V18" s="131"/>
      <c r="W18" s="256"/>
    </row>
    <row r="19" spans="1:23" s="6" customFormat="1" ht="18">
      <c r="A19" s="8"/>
      <c r="B19" s="13" t="s">
        <v>152</v>
      </c>
      <c r="C19" s="42"/>
      <c r="D19" s="148">
        <f>D20+D21+D22</f>
        <v>130000</v>
      </c>
      <c r="E19" s="148">
        <f>E20+E21+E22</f>
        <v>27800</v>
      </c>
      <c r="F19" s="154">
        <v>24522.31</v>
      </c>
      <c r="G19" s="160">
        <f t="shared" si="0"/>
        <v>-3277.6899999999987</v>
      </c>
      <c r="H19" s="162">
        <f t="shared" si="3"/>
        <v>88.20974820143886</v>
      </c>
      <c r="I19" s="163">
        <f t="shared" si="4"/>
        <v>-105477.69</v>
      </c>
      <c r="J19" s="163">
        <f t="shared" si="5"/>
        <v>18.863315384615387</v>
      </c>
      <c r="K19" s="159">
        <v>18270.9</v>
      </c>
      <c r="L19" s="165">
        <f t="shared" si="1"/>
        <v>6251.41</v>
      </c>
      <c r="M19" s="211">
        <f t="shared" si="2"/>
        <v>1.3421511802921586</v>
      </c>
      <c r="N19" s="162">
        <f>N20+N21+N22</f>
        <v>9800</v>
      </c>
      <c r="O19" s="166">
        <f>O20+O21+O22</f>
        <v>10816.410000000002</v>
      </c>
      <c r="P19" s="165">
        <f t="shared" si="6"/>
        <v>1016.4100000000017</v>
      </c>
      <c r="Q19" s="163">
        <f t="shared" si="7"/>
        <v>110.37153061224491</v>
      </c>
      <c r="R19" s="36"/>
      <c r="S19" s="93"/>
      <c r="T19" s="145"/>
      <c r="U19" s="239"/>
      <c r="V19" s="131"/>
      <c r="W19" s="256"/>
    </row>
    <row r="20" spans="1:23" s="6" customFormat="1" ht="46.5">
      <c r="A20" s="8"/>
      <c r="B20" s="244" t="s">
        <v>153</v>
      </c>
      <c r="C20" s="122">
        <v>14040000</v>
      </c>
      <c r="D20" s="245">
        <v>130000</v>
      </c>
      <c r="E20" s="245">
        <v>27800</v>
      </c>
      <c r="F20" s="199">
        <v>15950.87</v>
      </c>
      <c r="G20" s="245">
        <f t="shared" si="0"/>
        <v>-11849.13</v>
      </c>
      <c r="H20" s="193">
        <f t="shared" si="3"/>
        <v>57.377230215827346</v>
      </c>
      <c r="I20" s="246">
        <f t="shared" si="4"/>
        <v>-114049.13</v>
      </c>
      <c r="J20" s="246">
        <f t="shared" si="5"/>
        <v>12.2699</v>
      </c>
      <c r="K20" s="247">
        <v>18270.89</v>
      </c>
      <c r="L20" s="164">
        <f t="shared" si="1"/>
        <v>-2320.0199999999986</v>
      </c>
      <c r="M20" s="248">
        <f t="shared" si="2"/>
        <v>0.8730209639486638</v>
      </c>
      <c r="N20" s="193">
        <f>E20-лютий!E19</f>
        <v>9800</v>
      </c>
      <c r="O20" s="177">
        <f>F20-лютий!F19</f>
        <v>2244.960000000001</v>
      </c>
      <c r="P20" s="164">
        <f t="shared" si="6"/>
        <v>-7555.039999999999</v>
      </c>
      <c r="Q20" s="246">
        <f t="shared" si="7"/>
        <v>22.907755102040824</v>
      </c>
      <c r="R20" s="106"/>
      <c r="S20" s="107"/>
      <c r="T20" s="249">
        <v>4250</v>
      </c>
      <c r="U20" s="250">
        <f t="shared" si="8"/>
        <v>-2005.039999999999</v>
      </c>
      <c r="V20" s="254">
        <v>17955.9</v>
      </c>
      <c r="W20" s="257">
        <f>F20-V20</f>
        <v>-2005.0300000000007</v>
      </c>
    </row>
    <row r="21" spans="1:23" s="6" customFormat="1" ht="18">
      <c r="A21" s="8"/>
      <c r="B21" s="244" t="s">
        <v>150</v>
      </c>
      <c r="C21" s="122">
        <v>14021900</v>
      </c>
      <c r="D21" s="245">
        <v>0</v>
      </c>
      <c r="E21" s="245">
        <v>0</v>
      </c>
      <c r="F21" s="199">
        <v>1633.9</v>
      </c>
      <c r="G21" s="245">
        <f t="shared" si="0"/>
        <v>1633.9</v>
      </c>
      <c r="H21" s="193"/>
      <c r="I21" s="246">
        <f t="shared" si="4"/>
        <v>1633.9</v>
      </c>
      <c r="J21" s="246"/>
      <c r="K21" s="247">
        <v>0</v>
      </c>
      <c r="L21" s="164">
        <f t="shared" si="1"/>
        <v>1633.9</v>
      </c>
      <c r="M21" s="248"/>
      <c r="N21" s="193">
        <v>0</v>
      </c>
      <c r="O21" s="177">
        <f>F21</f>
        <v>1633.9</v>
      </c>
      <c r="P21" s="164"/>
      <c r="Q21" s="246"/>
      <c r="R21" s="106"/>
      <c r="S21" s="107"/>
      <c r="T21" s="249"/>
      <c r="U21" s="250"/>
      <c r="V21" s="254"/>
      <c r="W21" s="256"/>
    </row>
    <row r="22" spans="1:23" s="6" customFormat="1" ht="18">
      <c r="A22" s="8"/>
      <c r="B22" s="244" t="s">
        <v>151</v>
      </c>
      <c r="C22" s="122">
        <v>14031900</v>
      </c>
      <c r="D22" s="245">
        <v>0</v>
      </c>
      <c r="E22" s="245">
        <v>0</v>
      </c>
      <c r="F22" s="199">
        <v>6937.55</v>
      </c>
      <c r="G22" s="245">
        <f t="shared" si="0"/>
        <v>6937.55</v>
      </c>
      <c r="H22" s="193"/>
      <c r="I22" s="246">
        <f t="shared" si="4"/>
        <v>6937.55</v>
      </c>
      <c r="J22" s="246"/>
      <c r="K22" s="247">
        <v>0</v>
      </c>
      <c r="L22" s="164">
        <f t="shared" si="1"/>
        <v>6937.55</v>
      </c>
      <c r="M22" s="248"/>
      <c r="N22" s="193">
        <v>0</v>
      </c>
      <c r="O22" s="177">
        <f>F22</f>
        <v>6937.55</v>
      </c>
      <c r="P22" s="164"/>
      <c r="Q22" s="246"/>
      <c r="R22" s="106"/>
      <c r="S22" s="107"/>
      <c r="T22" s="249"/>
      <c r="U22" s="250"/>
      <c r="V22" s="254"/>
      <c r="W22" s="256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92977.98</v>
      </c>
      <c r="G23" s="148">
        <f t="shared" si="0"/>
        <v>-9660.520000000004</v>
      </c>
      <c r="H23" s="155">
        <f t="shared" si="3"/>
        <v>90.5878203598065</v>
      </c>
      <c r="I23" s="156">
        <f t="shared" si="4"/>
        <v>-308152.12</v>
      </c>
      <c r="J23" s="156">
        <f t="shared" si="5"/>
        <v>23.17900850621781</v>
      </c>
      <c r="K23" s="156">
        <v>78944.09</v>
      </c>
      <c r="L23" s="159">
        <f t="shared" si="1"/>
        <v>14033.89</v>
      </c>
      <c r="M23" s="207">
        <f t="shared" si="2"/>
        <v>1.1777699888617374</v>
      </c>
      <c r="N23" s="155">
        <f>E23-лютий!E20</f>
        <v>26714</v>
      </c>
      <c r="O23" s="158">
        <f>F23-лютий!F20</f>
        <v>13870.729999999996</v>
      </c>
      <c r="P23" s="159">
        <f t="shared" si="6"/>
        <v>-12843.270000000004</v>
      </c>
      <c r="Q23" s="156">
        <f t="shared" si="7"/>
        <v>51.92307404357265</v>
      </c>
      <c r="R23" s="106"/>
      <c r="S23" s="107"/>
      <c r="T23" s="145"/>
      <c r="U23" s="239"/>
      <c r="V23" s="131"/>
      <c r="W23" s="256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38835.56</v>
      </c>
      <c r="G24" s="148">
        <f t="shared" si="0"/>
        <v>-9005.240000000005</v>
      </c>
      <c r="H24" s="155">
        <f t="shared" si="3"/>
        <v>81.17665256433838</v>
      </c>
      <c r="I24" s="156">
        <f t="shared" si="4"/>
        <v>-167785.44</v>
      </c>
      <c r="J24" s="156">
        <f t="shared" si="5"/>
        <v>18.79555321095145</v>
      </c>
      <c r="K24" s="156">
        <v>40388.11</v>
      </c>
      <c r="L24" s="159">
        <f t="shared" si="1"/>
        <v>-1552.550000000003</v>
      </c>
      <c r="M24" s="207">
        <f t="shared" si="2"/>
        <v>0.9615592311697675</v>
      </c>
      <c r="N24" s="155">
        <f>E24-лютий!E21</f>
        <v>15760.000000000004</v>
      </c>
      <c r="O24" s="158">
        <f>F24-лютий!F21</f>
        <v>7380.509999999998</v>
      </c>
      <c r="P24" s="159">
        <f t="shared" si="6"/>
        <v>-8379.490000000005</v>
      </c>
      <c r="Q24" s="156">
        <f t="shared" si="7"/>
        <v>46.8306472081218</v>
      </c>
      <c r="R24" s="106"/>
      <c r="S24" s="107"/>
      <c r="T24" s="145"/>
      <c r="U24" s="239"/>
      <c r="V24" s="131"/>
      <c r="W24" s="256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4697.25</v>
      </c>
      <c r="G25" s="169">
        <f t="shared" si="0"/>
        <v>-252.75</v>
      </c>
      <c r="H25" s="171">
        <f t="shared" si="3"/>
        <v>94.89393939393939</v>
      </c>
      <c r="I25" s="172">
        <f t="shared" si="4"/>
        <v>-18111.75</v>
      </c>
      <c r="J25" s="172">
        <f t="shared" si="5"/>
        <v>20.593844535051954</v>
      </c>
      <c r="K25" s="173">
        <v>4194.89</v>
      </c>
      <c r="L25" s="164">
        <f t="shared" si="1"/>
        <v>502.3599999999997</v>
      </c>
      <c r="M25" s="213">
        <f t="shared" si="2"/>
        <v>1.1197552260011585</v>
      </c>
      <c r="N25" s="193">
        <f>E25-лютий!E22</f>
        <v>575</v>
      </c>
      <c r="O25" s="177">
        <f>F25-лютий!F22</f>
        <v>289.03999999999996</v>
      </c>
      <c r="P25" s="175">
        <f t="shared" si="6"/>
        <v>-285.96000000000004</v>
      </c>
      <c r="Q25" s="172">
        <f t="shared" si="7"/>
        <v>50.26782608695651</v>
      </c>
      <c r="R25" s="106"/>
      <c r="S25" s="107"/>
      <c r="T25" s="145">
        <v>374</v>
      </c>
      <c r="U25" s="239">
        <f t="shared" si="8"/>
        <v>-84.96000000000004</v>
      </c>
      <c r="V25" s="131"/>
      <c r="W25" s="256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155.1</v>
      </c>
      <c r="G26" s="196">
        <f t="shared" si="0"/>
        <v>-94.9</v>
      </c>
      <c r="H26" s="197">
        <f t="shared" si="3"/>
        <v>62.03999999999999</v>
      </c>
      <c r="I26" s="198">
        <f t="shared" si="4"/>
        <v>-1667.2</v>
      </c>
      <c r="J26" s="198">
        <f t="shared" si="5"/>
        <v>8.511222081984306</v>
      </c>
      <c r="K26" s="198">
        <v>156.42</v>
      </c>
      <c r="L26" s="198">
        <f t="shared" si="1"/>
        <v>-1.3199999999999932</v>
      </c>
      <c r="M26" s="226">
        <f t="shared" si="2"/>
        <v>0.9915611814345991</v>
      </c>
      <c r="N26" s="234">
        <f>E26-лютий!E23</f>
        <v>55</v>
      </c>
      <c r="O26" s="234">
        <f>F26-лютий!F23</f>
        <v>4.8700000000000045</v>
      </c>
      <c r="P26" s="198">
        <f t="shared" si="6"/>
        <v>-50.129999999999995</v>
      </c>
      <c r="Q26" s="198">
        <f t="shared" si="7"/>
        <v>8.854545454545462</v>
      </c>
      <c r="R26" s="106"/>
      <c r="S26" s="107"/>
      <c r="T26" s="145"/>
      <c r="U26" s="239">
        <f t="shared" si="8"/>
        <v>4.8700000000000045</v>
      </c>
      <c r="V26" s="131"/>
      <c r="W26" s="256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4542.15</v>
      </c>
      <c r="G27" s="196">
        <f t="shared" si="0"/>
        <v>-157.85000000000036</v>
      </c>
      <c r="H27" s="197">
        <f t="shared" si="3"/>
        <v>96.64148936170211</v>
      </c>
      <c r="I27" s="198">
        <f t="shared" si="4"/>
        <v>-16444.550000000003</v>
      </c>
      <c r="J27" s="198">
        <f t="shared" si="5"/>
        <v>21.642992943149704</v>
      </c>
      <c r="K27" s="198">
        <v>4038.47</v>
      </c>
      <c r="L27" s="198">
        <f t="shared" si="1"/>
        <v>503.67999999999984</v>
      </c>
      <c r="M27" s="226">
        <f t="shared" si="2"/>
        <v>1.1247205005856178</v>
      </c>
      <c r="N27" s="234">
        <f>E27-лютий!E24</f>
        <v>520</v>
      </c>
      <c r="O27" s="234">
        <f>F27-лютий!F24</f>
        <v>284.1700000000001</v>
      </c>
      <c r="P27" s="198">
        <f t="shared" si="6"/>
        <v>-235.82999999999993</v>
      </c>
      <c r="Q27" s="198">
        <f t="shared" si="7"/>
        <v>54.648076923076935</v>
      </c>
      <c r="R27" s="106"/>
      <c r="S27" s="107"/>
      <c r="T27" s="145"/>
      <c r="U27" s="239">
        <f t="shared" si="8"/>
        <v>284.1700000000001</v>
      </c>
      <c r="V27" s="131"/>
      <c r="W27" s="256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54.17</v>
      </c>
      <c r="G28" s="169">
        <f t="shared" si="0"/>
        <v>-1.6299999999999955</v>
      </c>
      <c r="H28" s="171">
        <f t="shared" si="3"/>
        <v>97.07885304659499</v>
      </c>
      <c r="I28" s="172">
        <f t="shared" si="4"/>
        <v>-765.83</v>
      </c>
      <c r="J28" s="172">
        <f t="shared" si="5"/>
        <v>6.60609756097561</v>
      </c>
      <c r="K28" s="172">
        <v>313.88</v>
      </c>
      <c r="L28" s="172">
        <f t="shared" si="1"/>
        <v>-259.71</v>
      </c>
      <c r="M28" s="210">
        <f t="shared" si="2"/>
        <v>0.17258187842487577</v>
      </c>
      <c r="N28" s="193">
        <f>E28-лютий!E25</f>
        <v>5</v>
      </c>
      <c r="O28" s="177">
        <f>F28-лютий!F25</f>
        <v>-25</v>
      </c>
      <c r="P28" s="175">
        <f t="shared" si="6"/>
        <v>-30</v>
      </c>
      <c r="Q28" s="172">
        <f>O28/N28*100</f>
        <v>-500</v>
      </c>
      <c r="R28" s="106"/>
      <c r="S28" s="107"/>
      <c r="T28" s="145">
        <v>0</v>
      </c>
      <c r="U28" s="239">
        <f t="shared" si="8"/>
        <v>-25</v>
      </c>
      <c r="V28" s="131"/>
      <c r="W28" s="256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34084.14</v>
      </c>
      <c r="G29" s="169">
        <f t="shared" si="0"/>
        <v>-8750.86</v>
      </c>
      <c r="H29" s="171">
        <f t="shared" si="3"/>
        <v>79.57077156530875</v>
      </c>
      <c r="I29" s="172">
        <f t="shared" si="4"/>
        <v>-148907.86</v>
      </c>
      <c r="J29" s="172">
        <f t="shared" si="5"/>
        <v>18.626027367316603</v>
      </c>
      <c r="K29" s="173">
        <v>35879.34</v>
      </c>
      <c r="L29" s="173">
        <f t="shared" si="1"/>
        <v>-1795.199999999997</v>
      </c>
      <c r="M29" s="209">
        <f t="shared" si="2"/>
        <v>0.9499656348193697</v>
      </c>
      <c r="N29" s="193">
        <f>E29-лютий!E26</f>
        <v>15180</v>
      </c>
      <c r="O29" s="177">
        <f>F29-лютий!F26</f>
        <v>7116.470000000001</v>
      </c>
      <c r="P29" s="175">
        <f t="shared" si="6"/>
        <v>-8063.529999999999</v>
      </c>
      <c r="Q29" s="172">
        <f>O29/N29*100</f>
        <v>46.88056653491437</v>
      </c>
      <c r="R29" s="106"/>
      <c r="S29" s="107"/>
      <c r="T29" s="145">
        <v>15224</v>
      </c>
      <c r="U29" s="239">
        <f t="shared" si="8"/>
        <v>-8107.529999999999</v>
      </c>
      <c r="V29" s="131">
        <v>42191.7</v>
      </c>
      <c r="W29" s="257">
        <f>F29-V29</f>
        <v>-8107.559999999998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10683.92</v>
      </c>
      <c r="G30" s="196">
        <f t="shared" si="0"/>
        <v>-2146.08</v>
      </c>
      <c r="H30" s="197">
        <f t="shared" si="3"/>
        <v>83.27295401402962</v>
      </c>
      <c r="I30" s="198">
        <f t="shared" si="4"/>
        <v>-46849.08</v>
      </c>
      <c r="J30" s="198">
        <f t="shared" si="5"/>
        <v>18.57007282776841</v>
      </c>
      <c r="K30" s="198">
        <v>10893.12</v>
      </c>
      <c r="L30" s="198">
        <f t="shared" si="1"/>
        <v>-209.20000000000073</v>
      </c>
      <c r="M30" s="226">
        <f t="shared" si="2"/>
        <v>0.9807952175317998</v>
      </c>
      <c r="N30" s="234">
        <f>E30-лютий!E27</f>
        <v>4650</v>
      </c>
      <c r="O30" s="234">
        <f>F30-лютий!F27</f>
        <v>1824.710000000001</v>
      </c>
      <c r="P30" s="198">
        <f t="shared" si="6"/>
        <v>-2825.289999999999</v>
      </c>
      <c r="Q30" s="198">
        <f>O30/N30*100</f>
        <v>39.24107526881723</v>
      </c>
      <c r="R30" s="106"/>
      <c r="S30" s="107"/>
      <c r="T30" s="145"/>
      <c r="U30" s="239">
        <f t="shared" si="8"/>
        <v>1824.710000000001</v>
      </c>
      <c r="V30" s="131"/>
      <c r="W30" s="256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23400.23</v>
      </c>
      <c r="G31" s="196">
        <f t="shared" si="0"/>
        <v>-6604.77</v>
      </c>
      <c r="H31" s="197">
        <f t="shared" si="3"/>
        <v>77.9877687052158</v>
      </c>
      <c r="I31" s="198">
        <f t="shared" si="4"/>
        <v>-102058.77</v>
      </c>
      <c r="J31" s="198">
        <f t="shared" si="5"/>
        <v>18.651694976047953</v>
      </c>
      <c r="K31" s="198">
        <v>24986.12</v>
      </c>
      <c r="L31" s="198">
        <f t="shared" si="1"/>
        <v>-1585.8899999999994</v>
      </c>
      <c r="M31" s="226">
        <f t="shared" si="2"/>
        <v>0.9365291609901818</v>
      </c>
      <c r="N31" s="234">
        <f>E31-лютий!E28</f>
        <v>10530</v>
      </c>
      <c r="O31" s="234">
        <f>F31-лютий!F28</f>
        <v>5291.77</v>
      </c>
      <c r="P31" s="198">
        <f t="shared" si="6"/>
        <v>-5238.23</v>
      </c>
      <c r="Q31" s="198">
        <f>O31/N31*100</f>
        <v>50.25422602089269</v>
      </c>
      <c r="R31" s="106"/>
      <c r="S31" s="107"/>
      <c r="T31" s="145"/>
      <c r="U31" s="239">
        <f t="shared" si="8"/>
        <v>5291.77</v>
      </c>
      <c r="V31" s="131"/>
      <c r="W31" s="256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39"/>
      <c r="V32" s="131"/>
      <c r="W32" s="256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39"/>
      <c r="V33" s="131"/>
      <c r="W33" s="256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-17.89</v>
      </c>
      <c r="G34" s="148">
        <f t="shared" si="0"/>
        <v>-17.89</v>
      </c>
      <c r="H34" s="155"/>
      <c r="I34" s="156">
        <f t="shared" si="4"/>
        <v>-17.89</v>
      </c>
      <c r="J34" s="156"/>
      <c r="K34" s="156">
        <v>-81.54</v>
      </c>
      <c r="L34" s="156">
        <f t="shared" si="1"/>
        <v>63.650000000000006</v>
      </c>
      <c r="M34" s="208">
        <f>F34/K34</f>
        <v>0.21940152072602404</v>
      </c>
      <c r="N34" s="155">
        <f>E34-лютий!E31</f>
        <v>0</v>
      </c>
      <c r="O34" s="158">
        <f>F34-лютий!F31</f>
        <v>-7.130000000000001</v>
      </c>
      <c r="P34" s="159">
        <f t="shared" si="6"/>
        <v>-7.130000000000001</v>
      </c>
      <c r="Q34" s="156" t="e">
        <f>O34/N34*100</f>
        <v>#DIV/0!</v>
      </c>
      <c r="R34" s="106"/>
      <c r="S34" s="107"/>
      <c r="T34" s="145"/>
      <c r="U34" s="239"/>
      <c r="V34" s="131"/>
      <c r="W34" s="256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54122.91</v>
      </c>
      <c r="G35" s="160">
        <f t="shared" si="0"/>
        <v>-655.7899999999936</v>
      </c>
      <c r="H35" s="162">
        <f t="shared" si="3"/>
        <v>98.80283759928587</v>
      </c>
      <c r="I35" s="163">
        <f t="shared" si="4"/>
        <v>-140271.19</v>
      </c>
      <c r="J35" s="163">
        <f t="shared" si="5"/>
        <v>27.84184808078023</v>
      </c>
      <c r="K35" s="176">
        <v>38612.71</v>
      </c>
      <c r="L35" s="176">
        <f>F35-K35</f>
        <v>15510.200000000004</v>
      </c>
      <c r="M35" s="224">
        <f>F35/K35</f>
        <v>1.4016863877205201</v>
      </c>
      <c r="N35" s="155">
        <f>E35-лютий!E32</f>
        <v>10950</v>
      </c>
      <c r="O35" s="158">
        <f>F35-лютий!F32</f>
        <v>6494.350000000006</v>
      </c>
      <c r="P35" s="165">
        <f t="shared" si="6"/>
        <v>-4455.649999999994</v>
      </c>
      <c r="Q35" s="163">
        <f>O35/N35*100</f>
        <v>59.30913242009138</v>
      </c>
      <c r="R35" s="106"/>
      <c r="S35" s="107"/>
      <c r="T35" s="145">
        <v>6650</v>
      </c>
      <c r="U35" s="239">
        <f t="shared" si="8"/>
        <v>-155.64999999999418</v>
      </c>
      <c r="V35" s="131"/>
      <c r="W35" s="256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39">
        <f t="shared" si="8"/>
        <v>0</v>
      </c>
      <c r="V36" s="131"/>
      <c r="W36" s="256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10408.9</v>
      </c>
      <c r="G37" s="102">
        <f t="shared" si="0"/>
        <v>8.899999999999636</v>
      </c>
      <c r="H37" s="104">
        <f t="shared" si="3"/>
        <v>100.08557692307691</v>
      </c>
      <c r="I37" s="103">
        <f t="shared" si="4"/>
        <v>-30591.1</v>
      </c>
      <c r="J37" s="103">
        <f t="shared" si="5"/>
        <v>25.38756097560976</v>
      </c>
      <c r="K37" s="126">
        <v>9812.49</v>
      </c>
      <c r="L37" s="126">
        <f t="shared" si="1"/>
        <v>596.4099999999999</v>
      </c>
      <c r="M37" s="214">
        <f t="shared" si="9"/>
        <v>1.0607806988847888</v>
      </c>
      <c r="N37" s="104">
        <f>E37-лютий!E34</f>
        <v>1290</v>
      </c>
      <c r="O37" s="142">
        <f>F37-лютий!F34</f>
        <v>652.9499999999989</v>
      </c>
      <c r="P37" s="105">
        <f t="shared" si="6"/>
        <v>-637.0500000000011</v>
      </c>
      <c r="Q37" s="103">
        <f>O37/N37*100</f>
        <v>50.61627906976736</v>
      </c>
      <c r="R37" s="106"/>
      <c r="S37" s="107"/>
      <c r="T37" s="145"/>
      <c r="U37" s="239">
        <f t="shared" si="8"/>
        <v>652.9499999999989</v>
      </c>
      <c r="V37" s="131"/>
      <c r="W37" s="256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43697.89</v>
      </c>
      <c r="G38" s="102">
        <f t="shared" si="0"/>
        <v>-662.1100000000006</v>
      </c>
      <c r="H38" s="104">
        <f t="shared" si="3"/>
        <v>98.50741659152389</v>
      </c>
      <c r="I38" s="103">
        <f t="shared" si="4"/>
        <v>-109641.21</v>
      </c>
      <c r="J38" s="103">
        <f t="shared" si="5"/>
        <v>28.49755215727756</v>
      </c>
      <c r="K38" s="126">
        <v>28792.38</v>
      </c>
      <c r="L38" s="126">
        <f t="shared" si="1"/>
        <v>14905.509999999998</v>
      </c>
      <c r="M38" s="214">
        <f t="shared" si="9"/>
        <v>1.5176894025433116</v>
      </c>
      <c r="N38" s="104">
        <f>E38-лютий!E35</f>
        <v>9660</v>
      </c>
      <c r="O38" s="142">
        <f>F38-лютий!F35</f>
        <v>5841.389999999999</v>
      </c>
      <c r="P38" s="105">
        <f t="shared" si="6"/>
        <v>-3818.6100000000006</v>
      </c>
      <c r="Q38" s="103">
        <f>O38/N38*100</f>
        <v>60.46987577639751</v>
      </c>
      <c r="R38" s="106"/>
      <c r="S38" s="107"/>
      <c r="T38" s="145"/>
      <c r="U38" s="239">
        <f t="shared" si="8"/>
        <v>5841.389999999999</v>
      </c>
      <c r="V38" s="131"/>
      <c r="W38" s="256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39">
        <f t="shared" si="8"/>
        <v>0</v>
      </c>
      <c r="V39" s="131"/>
      <c r="W39" s="256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39">
        <f t="shared" si="8"/>
        <v>0</v>
      </c>
      <c r="V40" s="131"/>
      <c r="W40" s="256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13391.640000000001</v>
      </c>
      <c r="G41" s="149">
        <f>G42+G43+G44+G45+G46+G48+G50+G51+G52+G53+G54+G59+G60+G64</f>
        <v>-895.3699999999995</v>
      </c>
      <c r="H41" s="150">
        <f>F41/E41*100</f>
        <v>93.55819948720458</v>
      </c>
      <c r="I41" s="151">
        <f>F41-D41</f>
        <v>-45633.36</v>
      </c>
      <c r="J41" s="151">
        <f>F41/D41*100</f>
        <v>22.688081321473955</v>
      </c>
      <c r="K41" s="149">
        <v>10672.26</v>
      </c>
      <c r="L41" s="149">
        <f t="shared" si="1"/>
        <v>2719.380000000001</v>
      </c>
      <c r="M41" s="203">
        <f t="shared" si="9"/>
        <v>1.2548082599187051</v>
      </c>
      <c r="N41" s="149">
        <f>N42+N43+N44+N45+N46+N48+N50+N51+N52+N53+N54+N59+N60+N64+N47</f>
        <v>6539.6</v>
      </c>
      <c r="O41" s="149">
        <f>O42+O43+O44+O45+O46+O48+O50+O51+O52+O53+O54+O59+O60+O64+O47</f>
        <v>4700.010000000001</v>
      </c>
      <c r="P41" s="149">
        <f>P42+P43+P44+P45+P46+P48+P50+P51+P52+P53+P54+P59+P60+P64</f>
        <v>-1826.4999999999995</v>
      </c>
      <c r="Q41" s="149">
        <f>O41/N41*100</f>
        <v>71.86999204844334</v>
      </c>
      <c r="R41" s="15" t="e">
        <f>#N/A</f>
        <v>#N/A</v>
      </c>
      <c r="S41" s="15" t="e">
        <f>#N/A</f>
        <v>#N/A</v>
      </c>
      <c r="T41" s="145"/>
      <c r="U41" s="239"/>
      <c r="W41" s="256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39">
        <f t="shared" si="8"/>
        <v>0</v>
      </c>
      <c r="V42" s="131"/>
      <c r="W42" s="256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39"/>
      <c r="V43" s="131"/>
      <c r="W43" s="256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62.08</v>
      </c>
      <c r="G44" s="160">
        <f t="shared" si="12"/>
        <v>43.08</v>
      </c>
      <c r="H44" s="162">
        <f>F44/E44*100</f>
        <v>326.7368421052632</v>
      </c>
      <c r="I44" s="163">
        <f t="shared" si="13"/>
        <v>22.08</v>
      </c>
      <c r="J44" s="163">
        <f aca="true" t="shared" si="15" ref="J44:J65">F44/D44*100</f>
        <v>155.20000000000002</v>
      </c>
      <c r="K44" s="163">
        <v>26.96</v>
      </c>
      <c r="L44" s="163">
        <f t="shared" si="1"/>
        <v>35.12</v>
      </c>
      <c r="M44" s="216">
        <f aca="true" t="shared" si="16" ref="M44:M66">F44/K44</f>
        <v>2.3026706231454006</v>
      </c>
      <c r="N44" s="162">
        <f>E44-лютий!E41</f>
        <v>3</v>
      </c>
      <c r="O44" s="166">
        <f>F44-лютий!F41</f>
        <v>5</v>
      </c>
      <c r="P44" s="165">
        <f t="shared" si="14"/>
        <v>2</v>
      </c>
      <c r="Q44" s="163">
        <f t="shared" si="11"/>
        <v>166.66666666666669</v>
      </c>
      <c r="R44" s="36"/>
      <c r="S44" s="93"/>
      <c r="T44" s="145"/>
      <c r="U44" s="239"/>
      <c r="V44" s="131"/>
      <c r="W44" s="256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39"/>
      <c r="V45" s="131"/>
      <c r="W45" s="256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241.32</v>
      </c>
      <c r="G46" s="160">
        <f t="shared" si="12"/>
        <v>179.32</v>
      </c>
      <c r="H46" s="162">
        <f t="shared" si="10"/>
        <v>389.22580645161287</v>
      </c>
      <c r="I46" s="163">
        <f t="shared" si="13"/>
        <v>-18.680000000000007</v>
      </c>
      <c r="J46" s="163">
        <f t="shared" si="15"/>
        <v>92.81538461538462</v>
      </c>
      <c r="K46" s="163">
        <v>20.4</v>
      </c>
      <c r="L46" s="163">
        <f t="shared" si="1"/>
        <v>220.92</v>
      </c>
      <c r="M46" s="216">
        <f t="shared" si="16"/>
        <v>11.829411764705883</v>
      </c>
      <c r="N46" s="162">
        <f>E46-лютий!E43</f>
        <v>22</v>
      </c>
      <c r="O46" s="166">
        <f>F46-лютий!F43</f>
        <v>159.24</v>
      </c>
      <c r="P46" s="165">
        <f t="shared" si="14"/>
        <v>137.24</v>
      </c>
      <c r="Q46" s="163">
        <f t="shared" si="11"/>
        <v>723.8181818181819</v>
      </c>
      <c r="R46" s="36"/>
      <c r="S46" s="93"/>
      <c r="T46" s="145"/>
      <c r="U46" s="239"/>
      <c r="V46" s="131"/>
      <c r="W46" s="256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39"/>
      <c r="V47" s="131"/>
      <c r="W47" s="256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272.48</v>
      </c>
      <c r="G48" s="160">
        <f t="shared" si="12"/>
        <v>-7.519999999999982</v>
      </c>
      <c r="H48" s="162">
        <f t="shared" si="10"/>
        <v>97.31428571428572</v>
      </c>
      <c r="I48" s="163">
        <f t="shared" si="13"/>
        <v>-457.52</v>
      </c>
      <c r="J48" s="163">
        <f t="shared" si="15"/>
        <v>37.326027397260276</v>
      </c>
      <c r="K48" s="163">
        <v>0</v>
      </c>
      <c r="L48" s="163">
        <f t="shared" si="1"/>
        <v>272.48</v>
      </c>
      <c r="M48" s="216"/>
      <c r="N48" s="162">
        <f>E48-лютий!E45</f>
        <v>160</v>
      </c>
      <c r="O48" s="166">
        <f>F48-лютий!F45</f>
        <v>80.09000000000003</v>
      </c>
      <c r="P48" s="165">
        <f t="shared" si="14"/>
        <v>-79.90999999999997</v>
      </c>
      <c r="Q48" s="163">
        <f t="shared" si="11"/>
        <v>50.05625000000003</v>
      </c>
      <c r="R48" s="36"/>
      <c r="S48" s="93"/>
      <c r="T48" s="145"/>
      <c r="U48" s="239"/>
      <c r="V48" s="131"/>
      <c r="W48" s="256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39"/>
      <c r="V49" s="131"/>
      <c r="W49" s="256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3237.19</v>
      </c>
      <c r="G50" s="160">
        <f t="shared" si="12"/>
        <v>-102.80999999999995</v>
      </c>
      <c r="H50" s="162">
        <f t="shared" si="10"/>
        <v>96.92185628742516</v>
      </c>
      <c r="I50" s="163">
        <f t="shared" si="13"/>
        <v>-7762.8099999999995</v>
      </c>
      <c r="J50" s="163">
        <f t="shared" si="15"/>
        <v>29.429</v>
      </c>
      <c r="K50" s="163">
        <v>2339.58</v>
      </c>
      <c r="L50" s="163">
        <f t="shared" si="1"/>
        <v>897.6100000000001</v>
      </c>
      <c r="M50" s="216">
        <f t="shared" si="16"/>
        <v>1.3836628796621617</v>
      </c>
      <c r="N50" s="162">
        <f>E50-лютий!E47</f>
        <v>1940</v>
      </c>
      <c r="O50" s="166">
        <f>F50-лютий!F47</f>
        <v>1093.4700000000003</v>
      </c>
      <c r="P50" s="165">
        <f t="shared" si="14"/>
        <v>-846.5299999999997</v>
      </c>
      <c r="Q50" s="163">
        <f t="shared" si="11"/>
        <v>56.36443298969074</v>
      </c>
      <c r="R50" s="36"/>
      <c r="S50" s="93"/>
      <c r="T50" s="145"/>
      <c r="U50" s="239"/>
      <c r="V50" s="131"/>
      <c r="W50" s="256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125.21</v>
      </c>
      <c r="G51" s="160">
        <f t="shared" si="12"/>
        <v>50.209999999999994</v>
      </c>
      <c r="H51" s="162">
        <f t="shared" si="10"/>
        <v>166.94666666666666</v>
      </c>
      <c r="I51" s="163">
        <f t="shared" si="13"/>
        <v>-184.79000000000002</v>
      </c>
      <c r="J51" s="163">
        <f t="shared" si="15"/>
        <v>40.39032258064516</v>
      </c>
      <c r="K51" s="163">
        <v>1.2</v>
      </c>
      <c r="L51" s="163">
        <f t="shared" si="1"/>
        <v>124.00999999999999</v>
      </c>
      <c r="M51" s="216"/>
      <c r="N51" s="162">
        <f>E51-лютий!E48</f>
        <v>25</v>
      </c>
      <c r="O51" s="166">
        <f>F51-лютий!F48</f>
        <v>34.769999999999996</v>
      </c>
      <c r="P51" s="165">
        <f t="shared" si="14"/>
        <v>9.769999999999996</v>
      </c>
      <c r="Q51" s="163">
        <f t="shared" si="11"/>
        <v>139.07999999999998</v>
      </c>
      <c r="R51" s="36"/>
      <c r="S51" s="93"/>
      <c r="T51" s="145"/>
      <c r="U51" s="239"/>
      <c r="V51" s="131"/>
      <c r="W51" s="256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39"/>
      <c r="V52" s="131"/>
      <c r="W52" s="256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39"/>
      <c r="V53" s="131"/>
      <c r="W53" s="256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227.62</v>
      </c>
      <c r="G54" s="160">
        <f t="shared" si="12"/>
        <v>-7.3799999999999955</v>
      </c>
      <c r="H54" s="162">
        <f t="shared" si="10"/>
        <v>96.85957446808511</v>
      </c>
      <c r="I54" s="163">
        <f t="shared" si="13"/>
        <v>-972.38</v>
      </c>
      <c r="J54" s="163">
        <f t="shared" si="15"/>
        <v>18.968333333333334</v>
      </c>
      <c r="K54" s="163">
        <v>1500.1</v>
      </c>
      <c r="L54" s="163">
        <f t="shared" si="1"/>
        <v>-1272.48</v>
      </c>
      <c r="M54" s="216">
        <f t="shared" si="16"/>
        <v>0.1517365508966069</v>
      </c>
      <c r="N54" s="162">
        <f>E54-лютий!E51</f>
        <v>95</v>
      </c>
      <c r="O54" s="166">
        <f>F54-лютий!F51</f>
        <v>138.57</v>
      </c>
      <c r="P54" s="165">
        <f t="shared" si="14"/>
        <v>43.56999999999999</v>
      </c>
      <c r="Q54" s="163">
        <f t="shared" si="11"/>
        <v>145.86315789473682</v>
      </c>
      <c r="R54" s="36"/>
      <c r="S54" s="93"/>
      <c r="T54" s="145"/>
      <c r="U54" s="239"/>
      <c r="V54" s="131"/>
      <c r="W54" s="256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204.5</v>
      </c>
      <c r="G55" s="33">
        <f t="shared" si="12"/>
        <v>14.5</v>
      </c>
      <c r="H55" s="29">
        <f t="shared" si="10"/>
        <v>107.63157894736841</v>
      </c>
      <c r="I55" s="103">
        <f t="shared" si="13"/>
        <v>-793.5</v>
      </c>
      <c r="J55" s="103">
        <f t="shared" si="15"/>
        <v>20.490981963927858</v>
      </c>
      <c r="K55" s="103">
        <v>163.68</v>
      </c>
      <c r="L55" s="103">
        <f>F55-K55</f>
        <v>40.81999999999999</v>
      </c>
      <c r="M55" s="108">
        <f t="shared" si="16"/>
        <v>1.2493890518084065</v>
      </c>
      <c r="N55" s="104">
        <f>E55-лютий!E52</f>
        <v>80</v>
      </c>
      <c r="O55" s="142">
        <f>F55-лютий!F52</f>
        <v>130.79000000000002</v>
      </c>
      <c r="P55" s="105">
        <f t="shared" si="14"/>
        <v>50.79000000000002</v>
      </c>
      <c r="Q55" s="118">
        <f t="shared" si="11"/>
        <v>163.48750000000004</v>
      </c>
      <c r="R55" s="36"/>
      <c r="S55" s="93"/>
      <c r="T55" s="145"/>
      <c r="U55" s="239"/>
      <c r="V55" s="131"/>
      <c r="W55" s="256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39"/>
      <c r="V56" s="131"/>
      <c r="W56" s="256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39"/>
      <c r="V57" s="131"/>
      <c r="W57" s="256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23.02</v>
      </c>
      <c r="G58" s="33">
        <f t="shared" si="12"/>
        <v>-21.98</v>
      </c>
      <c r="H58" s="29">
        <f t="shared" si="10"/>
        <v>51.15555555555555</v>
      </c>
      <c r="I58" s="103">
        <f t="shared" si="13"/>
        <v>-176.98</v>
      </c>
      <c r="J58" s="103">
        <f t="shared" si="15"/>
        <v>11.51</v>
      </c>
      <c r="K58" s="103">
        <v>1336.3</v>
      </c>
      <c r="L58" s="103">
        <f>F58-K58</f>
        <v>-1313.28</v>
      </c>
      <c r="M58" s="108">
        <f t="shared" si="16"/>
        <v>0.017226670657786426</v>
      </c>
      <c r="N58" s="104">
        <f>E58-лютий!E55</f>
        <v>15</v>
      </c>
      <c r="O58" s="142">
        <f>F58-лютий!F55</f>
        <v>7.779999999999999</v>
      </c>
      <c r="P58" s="105">
        <f t="shared" si="14"/>
        <v>-7.220000000000001</v>
      </c>
      <c r="Q58" s="118">
        <f t="shared" si="11"/>
        <v>51.86666666666666</v>
      </c>
      <c r="R58" s="36"/>
      <c r="S58" s="93"/>
      <c r="T58" s="145"/>
      <c r="U58" s="239"/>
      <c r="V58" s="131"/>
      <c r="W58" s="256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1.67</v>
      </c>
      <c r="G59" s="160">
        <f t="shared" si="12"/>
        <v>-0.8300000000000001</v>
      </c>
      <c r="H59" s="162"/>
      <c r="I59" s="163">
        <f t="shared" si="13"/>
        <v>-0.8300000000000001</v>
      </c>
      <c r="J59" s="163">
        <f t="shared" si="15"/>
        <v>66.8</v>
      </c>
      <c r="K59" s="163">
        <v>2.46</v>
      </c>
      <c r="L59" s="163">
        <f>F59-K59</f>
        <v>-0.79</v>
      </c>
      <c r="M59" s="216">
        <f t="shared" si="16"/>
        <v>0.6788617886178862</v>
      </c>
      <c r="N59" s="162">
        <f>E59-лютий!E56</f>
        <v>0</v>
      </c>
      <c r="O59" s="166">
        <f>F59-лютий!F56</f>
        <v>0</v>
      </c>
      <c r="P59" s="165">
        <f t="shared" si="14"/>
        <v>0</v>
      </c>
      <c r="Q59" s="163"/>
      <c r="R59" s="36"/>
      <c r="S59" s="93"/>
      <c r="T59" s="145"/>
      <c r="U59" s="239"/>
      <c r="V59" s="131"/>
      <c r="W59" s="256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3044.53</v>
      </c>
      <c r="G60" s="160">
        <f t="shared" si="12"/>
        <v>-15.4699999999998</v>
      </c>
      <c r="H60" s="162">
        <f t="shared" si="10"/>
        <v>99.49444444444445</v>
      </c>
      <c r="I60" s="163">
        <f t="shared" si="13"/>
        <v>-4305.469999999999</v>
      </c>
      <c r="J60" s="163">
        <f t="shared" si="15"/>
        <v>41.4221768707483</v>
      </c>
      <c r="K60" s="163">
        <v>1114.84</v>
      </c>
      <c r="L60" s="163">
        <f aca="true" t="shared" si="17" ref="L60:L66">F60-K60</f>
        <v>1929.6900000000003</v>
      </c>
      <c r="M60" s="216">
        <f t="shared" si="16"/>
        <v>2.7309120591295617</v>
      </c>
      <c r="N60" s="162">
        <f>E60-лютий!E57</f>
        <v>860</v>
      </c>
      <c r="O60" s="166">
        <f>F60-лютий!F57</f>
        <v>333.10000000000036</v>
      </c>
      <c r="P60" s="165">
        <f t="shared" si="14"/>
        <v>-526.8999999999996</v>
      </c>
      <c r="Q60" s="163">
        <f t="shared" si="11"/>
        <v>38.73255813953493</v>
      </c>
      <c r="R60" s="36"/>
      <c r="S60" s="93"/>
      <c r="T60" s="145"/>
      <c r="U60" s="239"/>
      <c r="V60" s="131"/>
      <c r="W60" s="256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39"/>
      <c r="V61" s="131"/>
      <c r="W61" s="256"/>
    </row>
    <row r="62" spans="1:23" s="6" customFormat="1" ht="30.75">
      <c r="A62" s="8"/>
      <c r="B62" s="49" t="s">
        <v>42</v>
      </c>
      <c r="C62" s="60"/>
      <c r="D62" s="102"/>
      <c r="E62" s="102"/>
      <c r="F62" s="199">
        <v>412.77</v>
      </c>
      <c r="G62" s="160"/>
      <c r="H62" s="162"/>
      <c r="I62" s="163"/>
      <c r="J62" s="163"/>
      <c r="K62" s="164">
        <v>230.44</v>
      </c>
      <c r="L62" s="163">
        <f t="shared" si="17"/>
        <v>182.32999999999998</v>
      </c>
      <c r="M62" s="216">
        <f t="shared" si="16"/>
        <v>1.791225481687207</v>
      </c>
      <c r="N62" s="193">
        <f>E62-лютий!E59</f>
        <v>0</v>
      </c>
      <c r="O62" s="177">
        <f>F62-лютий!F59</f>
        <v>127.44</v>
      </c>
      <c r="P62" s="164"/>
      <c r="Q62" s="163"/>
      <c r="R62" s="36"/>
      <c r="S62" s="93"/>
      <c r="T62" s="145"/>
      <c r="U62" s="239"/>
      <c r="V62" s="131"/>
      <c r="W62" s="256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39"/>
      <c r="V63" s="131"/>
      <c r="W63" s="256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39"/>
      <c r="V64" s="131"/>
      <c r="W64" s="256"/>
    </row>
    <row r="65" spans="1:23" s="6" customFormat="1" ht="30.75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39">
        <f>O65-T65</f>
        <v>5.37</v>
      </c>
      <c r="V65" s="131"/>
      <c r="W65" s="256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39"/>
      <c r="V66" s="131"/>
      <c r="W66" s="256"/>
    </row>
    <row r="67" spans="1:23" s="6" customFormat="1" ht="18">
      <c r="A67" s="9"/>
      <c r="B67" s="14" t="s">
        <v>28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277013.72</v>
      </c>
      <c r="G67" s="149">
        <f>F67-E67</f>
        <v>-29843.18000000005</v>
      </c>
      <c r="H67" s="150">
        <f>F67/E67*100</f>
        <v>90.27456120426164</v>
      </c>
      <c r="I67" s="151">
        <f>F67-D67</f>
        <v>-1080477.3800000001</v>
      </c>
      <c r="J67" s="151">
        <f>F67/D67*100</f>
        <v>20.40630100631967</v>
      </c>
      <c r="K67" s="151">
        <v>220465.78</v>
      </c>
      <c r="L67" s="151">
        <f>F67-K67</f>
        <v>56547.93999999997</v>
      </c>
      <c r="M67" s="217">
        <f>F67/K67</f>
        <v>1.256493048490337</v>
      </c>
      <c r="N67" s="149">
        <f>N8+N41+N65+N66</f>
        <v>102834.8</v>
      </c>
      <c r="O67" s="149">
        <f>O8+O41+O65+O66</f>
        <v>73487.35999999999</v>
      </c>
      <c r="P67" s="153">
        <f>O67-N67</f>
        <v>-29347.440000000017</v>
      </c>
      <c r="Q67" s="151">
        <f>O67/N67*100</f>
        <v>71.46156748493699</v>
      </c>
      <c r="R67" s="26">
        <f>O67-34768</f>
        <v>38719.359999999986</v>
      </c>
      <c r="S67" s="114">
        <f>O67/34768</f>
        <v>2.113649332719742</v>
      </c>
      <c r="T67" s="145">
        <v>89561.4</v>
      </c>
      <c r="U67" s="239">
        <f>O67-T67</f>
        <v>-16074.040000000008</v>
      </c>
      <c r="V67" s="131">
        <v>293087.8</v>
      </c>
      <c r="W67" s="257">
        <f>F67-V67</f>
        <v>-16074.080000000016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0"/>
      <c r="U68" s="243"/>
      <c r="V68" s="255"/>
      <c r="W68" s="255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0"/>
      <c r="U69" s="243"/>
      <c r="V69" s="255"/>
      <c r="W69" s="255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0"/>
      <c r="U70" s="243"/>
      <c r="V70" s="255"/>
      <c r="W70" s="255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3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</v>
      </c>
      <c r="G76" s="160">
        <f aca="true" t="shared" si="18" ref="G76:G87">F76-E76</f>
        <v>0.1</v>
      </c>
      <c r="H76" s="162"/>
      <c r="I76" s="165">
        <f aca="true" t="shared" si="19" ref="I76:I87">F76-D76</f>
        <v>-104205.93</v>
      </c>
      <c r="J76" s="165">
        <f>F76/D76*100</f>
        <v>9.596373645555828E-05</v>
      </c>
      <c r="K76" s="165">
        <v>0.15</v>
      </c>
      <c r="L76" s="165">
        <f aca="true" t="shared" si="20" ref="L76:L87">F76-K76</f>
        <v>-0.04999999999999999</v>
      </c>
      <c r="M76" s="207">
        <f>F76/K76</f>
        <v>0.6666666666666667</v>
      </c>
      <c r="N76" s="162">
        <f>E76-лютий!E73</f>
        <v>0</v>
      </c>
      <c r="O76" s="166">
        <f>F76-лютий!F73</f>
        <v>0.03</v>
      </c>
      <c r="P76" s="165">
        <f aca="true" t="shared" si="21" ref="P76:P89">O76-N76</f>
        <v>0.03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80.66</v>
      </c>
      <c r="G77" s="160">
        <f t="shared" si="18"/>
        <v>-4749.34</v>
      </c>
      <c r="H77" s="162">
        <f>F77/E77*100</f>
        <v>1.6699792960662527</v>
      </c>
      <c r="I77" s="165">
        <f t="shared" si="19"/>
        <v>-53919.34</v>
      </c>
      <c r="J77" s="165">
        <f>F77/D77*100</f>
        <v>0.14937037037037038</v>
      </c>
      <c r="K77" s="165">
        <v>318.64</v>
      </c>
      <c r="L77" s="165">
        <f t="shared" si="20"/>
        <v>-237.98</v>
      </c>
      <c r="M77" s="207">
        <f>F77/K77</f>
        <v>0.253138337936229</v>
      </c>
      <c r="N77" s="162">
        <f>E77-лютий!E74</f>
        <v>3600</v>
      </c>
      <c r="O77" s="166">
        <f>F77-лютий!F74</f>
        <v>32.31999999999999</v>
      </c>
      <c r="P77" s="165">
        <f t="shared" si="21"/>
        <v>-3567.68</v>
      </c>
      <c r="Q77" s="165">
        <f>O77/N77*100</f>
        <v>0.8977777777777776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1298</v>
      </c>
      <c r="G80" s="183">
        <f t="shared" si="18"/>
        <v>-8185</v>
      </c>
      <c r="H80" s="184">
        <f>F80/E80*100</f>
        <v>13.687651587050512</v>
      </c>
      <c r="I80" s="185">
        <f t="shared" si="19"/>
        <v>-235920.03</v>
      </c>
      <c r="J80" s="185">
        <f>F80/D80*100</f>
        <v>0.5471759461116846</v>
      </c>
      <c r="K80" s="185">
        <v>8278.87</v>
      </c>
      <c r="L80" s="185">
        <f t="shared" si="20"/>
        <v>-6980.870000000001</v>
      </c>
      <c r="M80" s="212">
        <f>F80/K80</f>
        <v>0.15678468196746656</v>
      </c>
      <c r="N80" s="183">
        <f>N76+N77+N78+N79</f>
        <v>7451</v>
      </c>
      <c r="O80" s="187">
        <f>O76+O77+O78+O79</f>
        <v>145.00000000000009</v>
      </c>
      <c r="P80" s="185">
        <f t="shared" si="21"/>
        <v>-7306</v>
      </c>
      <c r="Q80" s="185">
        <f>O80/N80*100</f>
        <v>1.9460475104012898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2217.3</v>
      </c>
      <c r="G83" s="160">
        <f t="shared" si="18"/>
        <v>-139</v>
      </c>
      <c r="H83" s="162">
        <f>F83/E83*100</f>
        <v>94.10092093536477</v>
      </c>
      <c r="I83" s="165">
        <f t="shared" si="19"/>
        <v>-6142.7</v>
      </c>
      <c r="J83" s="165">
        <f>F83/D83*100</f>
        <v>26.522727272727277</v>
      </c>
      <c r="K83" s="165">
        <v>2019</v>
      </c>
      <c r="L83" s="165">
        <f t="shared" si="20"/>
        <v>198.30000000000018</v>
      </c>
      <c r="M83" s="207"/>
      <c r="N83" s="162">
        <f>E83-лютий!E80</f>
        <v>6.300000000000182</v>
      </c>
      <c r="O83" s="166">
        <f>F83-лютий!F80</f>
        <v>0.07000000000016371</v>
      </c>
      <c r="P83" s="165">
        <f>O83-N83</f>
        <v>-6.230000000000018</v>
      </c>
      <c r="Q83" s="188">
        <f>O83/N83*100</f>
        <v>1.1111111111136776</v>
      </c>
      <c r="R83" s="40"/>
      <c r="S83" s="98"/>
      <c r="T83" s="28">
        <v>3.8</v>
      </c>
      <c r="U83" s="242">
        <f>O83-T83</f>
        <v>-3.729999999999836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2226.11</v>
      </c>
      <c r="G85" s="181">
        <f>G81+G84+G82+G83</f>
        <v>-130.69</v>
      </c>
      <c r="H85" s="184">
        <f>F85/E85*100</f>
        <v>94.45476917854718</v>
      </c>
      <c r="I85" s="185">
        <f t="shared" si="19"/>
        <v>-6173.889999999999</v>
      </c>
      <c r="J85" s="185">
        <f>F85/D85*100</f>
        <v>26.501309523809525</v>
      </c>
      <c r="K85" s="185">
        <v>2019.85</v>
      </c>
      <c r="L85" s="185">
        <f t="shared" si="20"/>
        <v>206.26000000000022</v>
      </c>
      <c r="M85" s="218">
        <f t="shared" si="22"/>
        <v>1.1021164937990446</v>
      </c>
      <c r="N85" s="183">
        <f>N81+N84+N82+N83</f>
        <v>6.800000000000182</v>
      </c>
      <c r="O85" s="187">
        <f>O81+O84+O82+O83</f>
        <v>0.07000000000016371</v>
      </c>
      <c r="P85" s="183">
        <f>P81+P84+P82+P83</f>
        <v>-6.730000000000018</v>
      </c>
      <c r="Q85" s="185">
        <f>O85/N85*100</f>
        <v>1.0294117647082623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1.12</v>
      </c>
      <c r="G86" s="160">
        <f t="shared" si="18"/>
        <v>-11.780000000000001</v>
      </c>
      <c r="H86" s="162">
        <f>F86/E86*100</f>
        <v>8.68217054263566</v>
      </c>
      <c r="I86" s="165">
        <f t="shared" si="19"/>
        <v>-36.88</v>
      </c>
      <c r="J86" s="165">
        <f>F86/D86*100</f>
        <v>2.947368421052632</v>
      </c>
      <c r="K86" s="165">
        <v>9.19</v>
      </c>
      <c r="L86" s="165">
        <f t="shared" si="20"/>
        <v>-8.07</v>
      </c>
      <c r="M86" s="207">
        <f t="shared" si="22"/>
        <v>0.1218715995647443</v>
      </c>
      <c r="N86" s="162">
        <f>E86-лютий!E83</f>
        <v>8</v>
      </c>
      <c r="O86" s="166">
        <f>F86-лютий!F83</f>
        <v>0.16000000000000014</v>
      </c>
      <c r="P86" s="165">
        <f t="shared" si="21"/>
        <v>-7.84</v>
      </c>
      <c r="Q86" s="165">
        <f>O86/N86</f>
        <v>0.020000000000000018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26.66</v>
      </c>
      <c r="G87" s="160">
        <f t="shared" si="18"/>
        <v>26.66</v>
      </c>
      <c r="H87" s="162"/>
      <c r="I87" s="165">
        <f t="shared" si="19"/>
        <v>26.66</v>
      </c>
      <c r="J87" s="165"/>
      <c r="K87" s="165">
        <v>0</v>
      </c>
      <c r="L87" s="165">
        <f t="shared" si="20"/>
        <v>26.66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3551.9</v>
      </c>
      <c r="G88" s="190">
        <f>F88-E88</f>
        <v>-8300.800000000001</v>
      </c>
      <c r="H88" s="191">
        <f>F88/E88*100</f>
        <v>29.96701173572266</v>
      </c>
      <c r="I88" s="192">
        <f>F88-D88</f>
        <v>-242104.13</v>
      </c>
      <c r="J88" s="192">
        <f>F88/D88*100</f>
        <v>1.4458834981579733</v>
      </c>
      <c r="K88" s="192">
        <v>10307.64</v>
      </c>
      <c r="L88" s="192">
        <f>F88-K88</f>
        <v>-6755.74</v>
      </c>
      <c r="M88" s="219">
        <f t="shared" si="22"/>
        <v>0.34458906209374796</v>
      </c>
      <c r="N88" s="189">
        <f>N74+N86+N80+N85+N87</f>
        <v>7465.8</v>
      </c>
      <c r="O88" s="189">
        <f>O74+O86+O80+O85+O87</f>
        <v>145.23000000000025</v>
      </c>
      <c r="P88" s="192">
        <f t="shared" si="21"/>
        <v>-7320.57</v>
      </c>
      <c r="Q88" s="192">
        <f>O88/N88*100</f>
        <v>1.9452704331752824</v>
      </c>
      <c r="R88" s="26">
        <f>O88-8104.96</f>
        <v>-7959.73</v>
      </c>
      <c r="S88" s="94">
        <f>O88/8104.96</f>
        <v>0.017918657217308936</v>
      </c>
    </row>
    <row r="89" spans="2:19" ht="17.25">
      <c r="B89" s="21" t="s">
        <v>32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280565.62</v>
      </c>
      <c r="G89" s="190">
        <f>F89-E89</f>
        <v>-38143.98000000004</v>
      </c>
      <c r="H89" s="191">
        <f>F89/E89*100</f>
        <v>88.0317442587233</v>
      </c>
      <c r="I89" s="192">
        <f>F89-D89</f>
        <v>-1322581.5100000002</v>
      </c>
      <c r="J89" s="192">
        <f>F89/D89*100</f>
        <v>17.500927690897587</v>
      </c>
      <c r="K89" s="192">
        <f>K67+K88</f>
        <v>230773.41999999998</v>
      </c>
      <c r="L89" s="192">
        <f>F89-K89</f>
        <v>49792.20000000001</v>
      </c>
      <c r="M89" s="219">
        <f t="shared" si="22"/>
        <v>1.2157622831953525</v>
      </c>
      <c r="N89" s="190">
        <f>N67+N88</f>
        <v>110300.6</v>
      </c>
      <c r="O89" s="190">
        <f>O67+O88</f>
        <v>73632.58999999998</v>
      </c>
      <c r="P89" s="192">
        <f t="shared" si="21"/>
        <v>-36668.010000000024</v>
      </c>
      <c r="Q89" s="192">
        <f>O89/N89*100</f>
        <v>66.75629144356421</v>
      </c>
      <c r="R89" s="26">
        <f>O89-42872.96</f>
        <v>30759.629999999983</v>
      </c>
      <c r="S89" s="94">
        <f>O89/42872.96</f>
        <v>1.7174599094627472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5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5869.488000000003</v>
      </c>
      <c r="D92" s="4" t="s">
        <v>24</v>
      </c>
      <c r="G92" s="274"/>
      <c r="H92" s="274"/>
      <c r="I92" s="274"/>
      <c r="J92" s="274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42818</v>
      </c>
      <c r="D93" s="28">
        <v>1912.7</v>
      </c>
      <c r="G93" s="4" t="s">
        <v>58</v>
      </c>
      <c r="O93" s="266"/>
      <c r="P93" s="266"/>
    </row>
    <row r="94" spans="3:16" ht="15">
      <c r="C94" s="80">
        <v>42817</v>
      </c>
      <c r="D94" s="28">
        <v>2423.5</v>
      </c>
      <c r="F94" s="112" t="s">
        <v>58</v>
      </c>
      <c r="G94" s="260"/>
      <c r="H94" s="260"/>
      <c r="I94" s="117"/>
      <c r="J94" s="263"/>
      <c r="K94" s="263"/>
      <c r="L94" s="263"/>
      <c r="M94" s="263"/>
      <c r="N94" s="263"/>
      <c r="O94" s="266"/>
      <c r="P94" s="266"/>
    </row>
    <row r="95" spans="3:16" ht="15.75" customHeight="1">
      <c r="C95" s="80">
        <v>42816</v>
      </c>
      <c r="D95" s="28">
        <v>4811.2</v>
      </c>
      <c r="F95" s="67"/>
      <c r="G95" s="260"/>
      <c r="H95" s="260"/>
      <c r="I95" s="117"/>
      <c r="J95" s="267"/>
      <c r="K95" s="267"/>
      <c r="L95" s="267"/>
      <c r="M95" s="267"/>
      <c r="N95" s="267"/>
      <c r="O95" s="266"/>
      <c r="P95" s="266"/>
    </row>
    <row r="96" spans="3:14" ht="15.75" customHeight="1">
      <c r="C96" s="80"/>
      <c r="F96" s="67"/>
      <c r="G96" s="262"/>
      <c r="H96" s="262"/>
      <c r="I96" s="123"/>
      <c r="J96" s="263"/>
      <c r="K96" s="263"/>
      <c r="L96" s="263"/>
      <c r="M96" s="263"/>
      <c r="N96" s="263"/>
    </row>
    <row r="97" spans="2:14" ht="18.75" customHeight="1">
      <c r="B97" s="264" t="s">
        <v>56</v>
      </c>
      <c r="C97" s="265"/>
      <c r="D97" s="132">
        <v>5480.73471</v>
      </c>
      <c r="E97" s="68"/>
      <c r="F97" s="124" t="s">
        <v>105</v>
      </c>
      <c r="G97" s="260"/>
      <c r="H97" s="260"/>
      <c r="I97" s="125"/>
      <c r="J97" s="263"/>
      <c r="K97" s="263"/>
      <c r="L97" s="263"/>
      <c r="M97" s="263"/>
      <c r="N97" s="263"/>
    </row>
    <row r="98" spans="6:13" ht="9.75" customHeight="1">
      <c r="F98" s="67"/>
      <c r="G98" s="260"/>
      <c r="H98" s="260"/>
      <c r="I98" s="67"/>
      <c r="J98" s="68"/>
      <c r="K98" s="68"/>
      <c r="L98" s="68"/>
      <c r="M98" s="68"/>
    </row>
    <row r="99" spans="2:13" ht="22.5" customHeight="1" hidden="1">
      <c r="B99" s="258" t="s">
        <v>59</v>
      </c>
      <c r="C99" s="259"/>
      <c r="D99" s="79">
        <v>0</v>
      </c>
      <c r="E99" s="50" t="s">
        <v>24</v>
      </c>
      <c r="F99" s="67"/>
      <c r="G99" s="260"/>
      <c r="H99" s="260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358</v>
      </c>
      <c r="F100" s="201">
        <f>F48+F51+F52</f>
        <v>401.69</v>
      </c>
      <c r="G100" s="67">
        <f>G48+G51+G52</f>
        <v>43.69000000000001</v>
      </c>
      <c r="H100" s="68"/>
      <c r="I100" s="68"/>
      <c r="N100" s="28">
        <f>N48+N51+N52</f>
        <v>186</v>
      </c>
      <c r="O100" s="200">
        <f>O48+O51+O52</f>
        <v>118.86000000000003</v>
      </c>
      <c r="P100" s="28">
        <f>P48+P51+P52</f>
        <v>-67.13999999999997</v>
      </c>
    </row>
    <row r="101" spans="4:16" ht="15" hidden="1">
      <c r="D101" s="77"/>
      <c r="I101" s="28"/>
      <c r="O101" s="261"/>
      <c r="P101" s="261"/>
    </row>
    <row r="102" spans="2:17" ht="15" hidden="1">
      <c r="B102" s="4" t="s">
        <v>116</v>
      </c>
      <c r="D102" s="28">
        <f>D9+D15+D17+D18+D20+D23+D42+D45+D59+D65+D66</f>
        <v>1299048.6</v>
      </c>
      <c r="E102" s="28">
        <f>E9+E15+E17+E18+E20+E23+E42+E45+E59+E65+E66</f>
        <v>292625.7</v>
      </c>
      <c r="F102" s="227">
        <f>F9+F15+F17+F18+F20+F23+F42+F45+F59+F65+F66</f>
        <v>254867.51999999996</v>
      </c>
      <c r="G102" s="28">
        <f>F102-E102</f>
        <v>-37758.18000000005</v>
      </c>
      <c r="H102" s="228">
        <f>F102/E102</f>
        <v>0.8709676559509296</v>
      </c>
      <c r="I102" s="28">
        <f>F102-D102</f>
        <v>-1044181.0800000001</v>
      </c>
      <c r="J102" s="228">
        <f>F102/D102</f>
        <v>0.1961955234007411</v>
      </c>
      <c r="N102" s="28">
        <f>N9+N15+N17+N18+N20+N23+N42+N45+N47+N59+N65+N66</f>
        <v>96308.8</v>
      </c>
      <c r="O102" s="227">
        <f>O9+O15+O17+O18+O20+O23+O42+O45+O47+O59+O65+O66</f>
        <v>60020.40999999999</v>
      </c>
      <c r="P102" s="28">
        <f>O102-N102</f>
        <v>-36288.390000000014</v>
      </c>
      <c r="Q102" s="228">
        <f>O102/N102</f>
        <v>0.6232079519213196</v>
      </c>
    </row>
    <row r="103" spans="2:17" ht="15" hidden="1">
      <c r="B103" s="4" t="s">
        <v>117</v>
      </c>
      <c r="D103" s="28">
        <f>D43+D44+D46+D48+D50+D51+D52+D53+D54+D60+D64+D47</f>
        <v>58442.5</v>
      </c>
      <c r="E103" s="28">
        <f>E43+E44+E46+E48+E50+E51+E52+E53+E54+E60+E64+E47</f>
        <v>14231.2</v>
      </c>
      <c r="F103" s="227">
        <f>F43+F44+F46+F48+F50+F51+F52+F53+F54+F60+F64+F47</f>
        <v>13574.76</v>
      </c>
      <c r="G103" s="28">
        <f>G43+G44+G46+G48+G50+G51+G52+G53+G54+G60+G64+G47</f>
        <v>-656.4399999999996</v>
      </c>
      <c r="H103" s="228">
        <f>F103/E103</f>
        <v>0.9538731800550901</v>
      </c>
      <c r="I103" s="28">
        <f>I43+I44+I46+I48+I50+I51+I52+I53+I54+I60+I64+I47</f>
        <v>-44867.73999999999</v>
      </c>
      <c r="J103" s="228">
        <f>F103/D103</f>
        <v>0.2322754844505283</v>
      </c>
      <c r="K103" s="28">
        <f aca="true" t="shared" si="23" ref="K103:P103">K43+K44+K46+K48+K50+K51+K52+K53+K54+K60+K64+K47</f>
        <v>10575.08</v>
      </c>
      <c r="L103" s="28">
        <f t="shared" si="23"/>
        <v>2999.680000000001</v>
      </c>
      <c r="M103" s="28">
        <f t="shared" si="23"/>
        <v>20.2042736336815</v>
      </c>
      <c r="N103" s="28">
        <f t="shared" si="23"/>
        <v>6539.6</v>
      </c>
      <c r="O103" s="227">
        <f t="shared" si="23"/>
        <v>4896.010000000001</v>
      </c>
      <c r="P103" s="28">
        <f t="shared" si="23"/>
        <v>-1643.5899999999992</v>
      </c>
      <c r="Q103" s="228">
        <f>O103/N103</f>
        <v>0.7486711725487799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4" ref="E104:P104">SUM(E102:E103)</f>
        <v>306856.9</v>
      </c>
      <c r="F104" s="227">
        <f t="shared" si="24"/>
        <v>268442.27999999997</v>
      </c>
      <c r="G104" s="28">
        <f t="shared" si="24"/>
        <v>-38414.62000000005</v>
      </c>
      <c r="H104" s="228">
        <f>F104/E104</f>
        <v>0.8748125917976749</v>
      </c>
      <c r="I104" s="28">
        <f t="shared" si="24"/>
        <v>-1089048.82</v>
      </c>
      <c r="J104" s="228">
        <f>F104/D104</f>
        <v>0.19774883238645172</v>
      </c>
      <c r="K104" s="28">
        <f t="shared" si="24"/>
        <v>10575.08</v>
      </c>
      <c r="L104" s="28">
        <f t="shared" si="24"/>
        <v>2999.680000000001</v>
      </c>
      <c r="M104" s="28">
        <f t="shared" si="24"/>
        <v>20.2042736336815</v>
      </c>
      <c r="N104" s="28">
        <f t="shared" si="24"/>
        <v>102848.40000000001</v>
      </c>
      <c r="O104" s="227">
        <f t="shared" si="24"/>
        <v>64916.41999999999</v>
      </c>
      <c r="P104" s="28">
        <f t="shared" si="24"/>
        <v>-37931.98000000001</v>
      </c>
      <c r="Q104" s="228">
        <f>O104/N104</f>
        <v>0.6311855118796207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8571.440000000002</v>
      </c>
      <c r="G105" s="28">
        <f t="shared" si="25"/>
        <v>8571.440000000002</v>
      </c>
      <c r="H105" s="228"/>
      <c r="I105" s="28">
        <f t="shared" si="25"/>
        <v>8571.439999999944</v>
      </c>
      <c r="J105" s="228"/>
      <c r="K105" s="28">
        <f t="shared" si="25"/>
        <v>209890.7</v>
      </c>
      <c r="L105" s="28">
        <f t="shared" si="25"/>
        <v>53548.25999999997</v>
      </c>
      <c r="M105" s="28">
        <f t="shared" si="25"/>
        <v>-18.94778058519116</v>
      </c>
      <c r="N105" s="28">
        <f t="shared" si="25"/>
        <v>-13.60000000000582</v>
      </c>
      <c r="O105" s="28">
        <f t="shared" si="25"/>
        <v>8570.939999999995</v>
      </c>
      <c r="P105" s="28">
        <f t="shared" si="25"/>
        <v>8584.539999999994</v>
      </c>
      <c r="Q105" s="28"/>
      <c r="R105" s="28">
        <f t="shared" si="25"/>
        <v>38719.359999999986</v>
      </c>
      <c r="S105" s="28">
        <f t="shared" si="25"/>
        <v>2.113649332719742</v>
      </c>
      <c r="T105" s="28">
        <f t="shared" si="25"/>
        <v>89561.4</v>
      </c>
    </row>
    <row r="106" ht="15">
      <c r="E106" s="4" t="s">
        <v>58</v>
      </c>
    </row>
    <row r="107" spans="2:5" ht="15" hidden="1">
      <c r="B107" s="236" t="s">
        <v>145</v>
      </c>
      <c r="E107" s="28">
        <f>E67-E9-E20-E29-E35</f>
        <v>19583.200000000026</v>
      </c>
    </row>
    <row r="108" spans="2:5" ht="15" hidden="1">
      <c r="B108" s="236" t="s">
        <v>146</v>
      </c>
      <c r="E108" s="28">
        <f>E88-E83-E76-E77</f>
        <v>4666.4000000000015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6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2" sqref="G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1" t="s">
        <v>139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85"/>
      <c r="S1" s="86"/>
    </row>
    <row r="2" spans="2:19" s="1" customFormat="1" ht="15.75" customHeight="1">
      <c r="B2" s="282"/>
      <c r="C2" s="282"/>
      <c r="D2" s="282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3"/>
      <c r="B3" s="285"/>
      <c r="C3" s="286" t="s">
        <v>0</v>
      </c>
      <c r="D3" s="287" t="s">
        <v>138</v>
      </c>
      <c r="E3" s="31"/>
      <c r="F3" s="288" t="s">
        <v>26</v>
      </c>
      <c r="G3" s="289"/>
      <c r="H3" s="289"/>
      <c r="I3" s="289"/>
      <c r="J3" s="290"/>
      <c r="K3" s="82"/>
      <c r="L3" s="82"/>
      <c r="M3" s="82"/>
      <c r="N3" s="291" t="s">
        <v>132</v>
      </c>
      <c r="O3" s="292" t="s">
        <v>136</v>
      </c>
      <c r="P3" s="292"/>
      <c r="Q3" s="292"/>
      <c r="R3" s="292"/>
      <c r="S3" s="292"/>
    </row>
    <row r="4" spans="1:19" ht="22.5" customHeight="1">
      <c r="A4" s="283"/>
      <c r="B4" s="285"/>
      <c r="C4" s="286"/>
      <c r="D4" s="287"/>
      <c r="E4" s="293" t="s">
        <v>137</v>
      </c>
      <c r="F4" s="275" t="s">
        <v>33</v>
      </c>
      <c r="G4" s="268" t="s">
        <v>133</v>
      </c>
      <c r="H4" s="277" t="s">
        <v>134</v>
      </c>
      <c r="I4" s="268" t="s">
        <v>125</v>
      </c>
      <c r="J4" s="277" t="s">
        <v>126</v>
      </c>
      <c r="K4" s="84" t="s">
        <v>128</v>
      </c>
      <c r="L4" s="202" t="s">
        <v>111</v>
      </c>
      <c r="M4" s="89" t="s">
        <v>63</v>
      </c>
      <c r="N4" s="277"/>
      <c r="O4" s="279" t="s">
        <v>140</v>
      </c>
      <c r="P4" s="268" t="s">
        <v>49</v>
      </c>
      <c r="Q4" s="270" t="s">
        <v>48</v>
      </c>
      <c r="R4" s="90" t="s">
        <v>64</v>
      </c>
      <c r="S4" s="91" t="s">
        <v>63</v>
      </c>
    </row>
    <row r="5" spans="1:19" ht="67.5" customHeight="1">
      <c r="A5" s="284"/>
      <c r="B5" s="285"/>
      <c r="C5" s="286"/>
      <c r="D5" s="287"/>
      <c r="E5" s="294"/>
      <c r="F5" s="276"/>
      <c r="G5" s="269"/>
      <c r="H5" s="278"/>
      <c r="I5" s="269"/>
      <c r="J5" s="278"/>
      <c r="K5" s="271" t="s">
        <v>135</v>
      </c>
      <c r="L5" s="272"/>
      <c r="M5" s="273"/>
      <c r="N5" s="278"/>
      <c r="O5" s="280"/>
      <c r="P5" s="269"/>
      <c r="Q5" s="270"/>
      <c r="R5" s="271" t="s">
        <v>102</v>
      </c>
      <c r="S5" s="27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285.33</v>
      </c>
      <c r="G59" s="160"/>
      <c r="H59" s="162"/>
      <c r="I59" s="163"/>
      <c r="J59" s="163"/>
      <c r="K59" s="164">
        <v>147.3</v>
      </c>
      <c r="L59" s="163">
        <f t="shared" si="18"/>
        <v>138.02999999999997</v>
      </c>
      <c r="M59" s="216">
        <f t="shared" si="17"/>
        <v>1.9370672097759671</v>
      </c>
      <c r="N59" s="162">
        <f>E59-'січень 17'!E59</f>
        <v>0</v>
      </c>
      <c r="O59" s="166">
        <f>F59-'січень 17'!F59</f>
        <v>118.11999999999998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274"/>
      <c r="H89" s="274"/>
      <c r="I89" s="274"/>
      <c r="J89" s="274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266"/>
      <c r="P90" s="266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60"/>
      <c r="H91" s="260"/>
      <c r="I91" s="117"/>
      <c r="J91" s="263"/>
      <c r="K91" s="263"/>
      <c r="L91" s="263"/>
      <c r="M91" s="263"/>
      <c r="N91" s="263"/>
      <c r="O91" s="266"/>
      <c r="P91" s="266"/>
    </row>
    <row r="92" spans="3:16" ht="15.75" customHeight="1">
      <c r="C92" s="80">
        <v>42790</v>
      </c>
      <c r="D92" s="28">
        <v>4206.9</v>
      </c>
      <c r="F92" s="67"/>
      <c r="G92" s="260"/>
      <c r="H92" s="260"/>
      <c r="I92" s="117"/>
      <c r="J92" s="267"/>
      <c r="K92" s="267"/>
      <c r="L92" s="267"/>
      <c r="M92" s="267"/>
      <c r="N92" s="267"/>
      <c r="O92" s="266"/>
      <c r="P92" s="266"/>
    </row>
    <row r="93" spans="3:14" ht="15.75" customHeight="1">
      <c r="C93" s="80"/>
      <c r="F93" s="67"/>
      <c r="G93" s="262"/>
      <c r="H93" s="262"/>
      <c r="I93" s="123"/>
      <c r="J93" s="263"/>
      <c r="K93" s="263"/>
      <c r="L93" s="263"/>
      <c r="M93" s="263"/>
      <c r="N93" s="263"/>
    </row>
    <row r="94" spans="2:14" ht="18.75" customHeight="1">
      <c r="B94" s="264" t="s">
        <v>56</v>
      </c>
      <c r="C94" s="265"/>
      <c r="D94" s="132">
        <v>7713.34596</v>
      </c>
      <c r="E94" s="68"/>
      <c r="F94" s="124" t="s">
        <v>105</v>
      </c>
      <c r="G94" s="260"/>
      <c r="H94" s="260"/>
      <c r="I94" s="125"/>
      <c r="J94" s="263"/>
      <c r="K94" s="263"/>
      <c r="L94" s="263"/>
      <c r="M94" s="263"/>
      <c r="N94" s="263"/>
    </row>
    <row r="95" spans="6:13" ht="9.75" customHeight="1">
      <c r="F95" s="67"/>
      <c r="G95" s="260"/>
      <c r="H95" s="260"/>
      <c r="I95" s="67"/>
      <c r="J95" s="68"/>
      <c r="K95" s="68"/>
      <c r="L95" s="68"/>
      <c r="M95" s="68"/>
    </row>
    <row r="96" spans="2:13" ht="22.5" customHeight="1" hidden="1">
      <c r="B96" s="258" t="s">
        <v>59</v>
      </c>
      <c r="C96" s="259"/>
      <c r="D96" s="79">
        <v>0</v>
      </c>
      <c r="E96" s="50" t="s">
        <v>24</v>
      </c>
      <c r="F96" s="67"/>
      <c r="G96" s="260"/>
      <c r="H96" s="26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61"/>
      <c r="P98" s="26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1" t="s">
        <v>131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85"/>
      <c r="S1" s="86"/>
    </row>
    <row r="2" spans="2:19" s="1" customFormat="1" ht="15.75" customHeight="1">
      <c r="B2" s="282"/>
      <c r="C2" s="282"/>
      <c r="D2" s="282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3"/>
      <c r="B3" s="285"/>
      <c r="C3" s="286" t="s">
        <v>0</v>
      </c>
      <c r="D3" s="287" t="s">
        <v>121</v>
      </c>
      <c r="E3" s="31"/>
      <c r="F3" s="288" t="s">
        <v>26</v>
      </c>
      <c r="G3" s="289"/>
      <c r="H3" s="289"/>
      <c r="I3" s="289"/>
      <c r="J3" s="290"/>
      <c r="K3" s="82"/>
      <c r="L3" s="82"/>
      <c r="M3" s="82"/>
      <c r="N3" s="291" t="s">
        <v>119</v>
      </c>
      <c r="O3" s="292" t="s">
        <v>115</v>
      </c>
      <c r="P3" s="292"/>
      <c r="Q3" s="292"/>
      <c r="R3" s="292"/>
      <c r="S3" s="292"/>
    </row>
    <row r="4" spans="1:19" ht="22.5" customHeight="1">
      <c r="A4" s="283"/>
      <c r="B4" s="285"/>
      <c r="C4" s="286"/>
      <c r="D4" s="287"/>
      <c r="E4" s="293" t="s">
        <v>122</v>
      </c>
      <c r="F4" s="275" t="s">
        <v>33</v>
      </c>
      <c r="G4" s="268" t="s">
        <v>123</v>
      </c>
      <c r="H4" s="277" t="s">
        <v>124</v>
      </c>
      <c r="I4" s="268" t="s">
        <v>125</v>
      </c>
      <c r="J4" s="277" t="s">
        <v>126</v>
      </c>
      <c r="K4" s="84" t="s">
        <v>128</v>
      </c>
      <c r="L4" s="202" t="s">
        <v>111</v>
      </c>
      <c r="M4" s="89" t="s">
        <v>63</v>
      </c>
      <c r="N4" s="277"/>
      <c r="O4" s="279" t="s">
        <v>120</v>
      </c>
      <c r="P4" s="268" t="s">
        <v>49</v>
      </c>
      <c r="Q4" s="270" t="s">
        <v>48</v>
      </c>
      <c r="R4" s="90" t="s">
        <v>64</v>
      </c>
      <c r="S4" s="91" t="s">
        <v>63</v>
      </c>
    </row>
    <row r="5" spans="1:19" ht="67.5" customHeight="1">
      <c r="A5" s="284"/>
      <c r="B5" s="285"/>
      <c r="C5" s="286"/>
      <c r="D5" s="287"/>
      <c r="E5" s="294"/>
      <c r="F5" s="276"/>
      <c r="G5" s="269"/>
      <c r="H5" s="278"/>
      <c r="I5" s="269"/>
      <c r="J5" s="278"/>
      <c r="K5" s="271" t="s">
        <v>129</v>
      </c>
      <c r="L5" s="272"/>
      <c r="M5" s="273"/>
      <c r="N5" s="278"/>
      <c r="O5" s="280"/>
      <c r="P5" s="269"/>
      <c r="Q5" s="270"/>
      <c r="R5" s="271" t="s">
        <v>102</v>
      </c>
      <c r="S5" s="273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30.75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74"/>
      <c r="H89" s="274"/>
      <c r="I89" s="274"/>
      <c r="J89" s="274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66"/>
      <c r="P90" s="266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60"/>
      <c r="H91" s="260"/>
      <c r="I91" s="117"/>
      <c r="J91" s="263"/>
      <c r="K91" s="263"/>
      <c r="L91" s="263"/>
      <c r="M91" s="263"/>
      <c r="N91" s="263"/>
      <c r="O91" s="266"/>
      <c r="P91" s="266"/>
    </row>
    <row r="92" spans="3:16" ht="15.75" customHeight="1">
      <c r="C92" s="80">
        <v>42762</v>
      </c>
      <c r="D92" s="28">
        <v>8862.4</v>
      </c>
      <c r="F92" s="67"/>
      <c r="G92" s="260"/>
      <c r="H92" s="260"/>
      <c r="I92" s="117"/>
      <c r="J92" s="267"/>
      <c r="K92" s="267"/>
      <c r="L92" s="267"/>
      <c r="M92" s="267"/>
      <c r="N92" s="267"/>
      <c r="O92" s="266"/>
      <c r="P92" s="266"/>
    </row>
    <row r="93" spans="3:14" ht="15.75" customHeight="1">
      <c r="C93" s="80"/>
      <c r="F93" s="67"/>
      <c r="G93" s="262"/>
      <c r="H93" s="262"/>
      <c r="I93" s="123"/>
      <c r="J93" s="263"/>
      <c r="K93" s="263"/>
      <c r="L93" s="263"/>
      <c r="M93" s="263"/>
      <c r="N93" s="263"/>
    </row>
    <row r="94" spans="2:14" ht="18.75" customHeight="1">
      <c r="B94" s="264" t="s">
        <v>56</v>
      </c>
      <c r="C94" s="265"/>
      <c r="D94" s="132">
        <f>9505303.41/1000</f>
        <v>9505.30341</v>
      </c>
      <c r="E94" s="68"/>
      <c r="F94" s="124" t="s">
        <v>105</v>
      </c>
      <c r="G94" s="260"/>
      <c r="H94" s="260"/>
      <c r="I94" s="125"/>
      <c r="J94" s="263"/>
      <c r="K94" s="263"/>
      <c r="L94" s="263"/>
      <c r="M94" s="263"/>
      <c r="N94" s="263"/>
    </row>
    <row r="95" spans="6:13" ht="9.75" customHeight="1">
      <c r="F95" s="67"/>
      <c r="G95" s="260"/>
      <c r="H95" s="260"/>
      <c r="I95" s="67"/>
      <c r="J95" s="68"/>
      <c r="K95" s="68"/>
      <c r="L95" s="68"/>
      <c r="M95" s="68"/>
    </row>
    <row r="96" spans="2:13" ht="22.5" customHeight="1" hidden="1">
      <c r="B96" s="258" t="s">
        <v>59</v>
      </c>
      <c r="C96" s="259"/>
      <c r="D96" s="79">
        <v>0</v>
      </c>
      <c r="E96" s="50" t="s">
        <v>24</v>
      </c>
      <c r="F96" s="67"/>
      <c r="G96" s="260"/>
      <c r="H96" s="26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61"/>
      <c r="P98" s="261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2017-03-27T08:01:38Z</cp:lastPrinted>
  <dcterms:created xsi:type="dcterms:W3CDTF">2003-07-28T11:27:56Z</dcterms:created>
  <dcterms:modified xsi:type="dcterms:W3CDTF">2017-03-27T12:36:16Z</dcterms:modified>
  <cp:category/>
  <cp:version/>
  <cp:contentType/>
  <cp:contentStatus/>
</cp:coreProperties>
</file>